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G48" i="1"/>
  <c r="G47"/>
  <c r="G46"/>
  <c r="G45"/>
  <c r="G41"/>
  <c r="G40"/>
  <c r="G39"/>
  <c r="J3" i="5"/>
  <c r="J13" i="1"/>
  <c r="H45"/>
  <c r="H46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<sst xmlns="http://schemas.openxmlformats.org/spreadsheetml/2006/main" count="179" uniqueCount="76">
  <si>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</si>
  <si>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</si>
  <si>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</si>
  <si>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</si>
  <si>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</si>
  <si>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</si>
  <si>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</si>
  <si>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</si>
  <si>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</si>
  <si>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</si>
  <si>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</si>
  <si>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</si>
  <si>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</si>
  <si>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</si>
  <si>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</si>
  <si>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</si>
  <si>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</si>
  <si>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</si>
  <si>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</si>
  <si>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</si>
  <si>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</si>
  <si>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</si>
  <si>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</si>
  <si>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</si>
  <si>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</si>
  <si>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</si>
  <si>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</si>
  <si>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</si>
  <si>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</si>
  <si>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</si>
  <si>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</si>
  <si>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</si>
  <si>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</si>
  <si>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</si>
  <si>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</si>
  <si>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</si>
  <si>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</si>
  <si>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</si>
  <si>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</si>
  <si>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</si>
  <si>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</si>
  <si>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</si>
  <si>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</si>
  <si>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</si>
  <si>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</si>
  <si>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</si>
  <si>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</si>
  <si>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</si>
  <si>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</si>
  <si>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</si>
  <si>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</si>
  <si>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</si>
  <si>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</si>
  <si>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</si>
  <si>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</si>
  <si>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</si>
  <si>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</si>
  <si>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</si>
  <si>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</si>
  <si>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</si>
  <si>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</si>
  <si>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</si>
  <si>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</si>
  <si>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</si>
  <si>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</si>
  <si>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</si>
  <si>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</si>
  <si>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</si>
  <si>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</si>
  <si>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</si>
  <si>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</si>
  <si>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20-01-31</t>
  </si>
  <si>
    <t>od 20-02-01</t>
  </si>
  <si>
    <t>Nowe taryfy dla ciepła MPEC-KONIN Sp. z o.o. obowiązujące od dnia 2020-11-01</t>
  </si>
  <si>
    <t>do 20-10-31</t>
  </si>
  <si>
    <t>od 20-11-01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</si>
</sst>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17"/>
          <c:y val="0.20588235294117646"/>
          <c:w val="0.24539950812256794"/>
          <c:h val="0.5882352941176393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99" r="0.750000000000006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46"/>
          <c:h val="0.5882352941176393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6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99" r="0.7500000000000069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21"/>
          <c:y val="0.20588235294117646"/>
          <c:w val="0.24539950812256794"/>
          <c:h val="0.5882352941176390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84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0.64679649411086126</c:v>
                </c:pt>
                <c:pt idx="1">
                  <c:v>0.35320350588913874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22" r="0.750000000000007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57"/>
          <c:h val="0.5882352941176390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6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0.35420350588913874</c:v>
                </c:pt>
                <c:pt idx="1">
                  <c:v>0.64579649411086126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22" r="0.750000000000007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workbookViewId="0">
      <selection activeCell="H16" sqref="H1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44136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73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39" t="s">
        <v>74</v>
      </c>
      <c r="F9" s="44" t="s">
        <v>75</v>
      </c>
      <c r="G9" s="139" t="s">
        <v>74</v>
      </c>
      <c r="H9" s="44" t="s">
        <v>75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155">
        <v>124268.71</v>
      </c>
      <c r="F10" s="153">
        <v>124268.71</v>
      </c>
      <c r="G10" s="156">
        <v>152850.51</v>
      </c>
      <c r="H10" s="154">
        <v>152850.51</v>
      </c>
      <c r="I10" s="148">
        <f t="shared" ref="I10:I13" si="0">IF(G10&gt;0,H10/G10-1,"")</f>
        <v>0</v>
      </c>
      <c r="J10" s="148">
        <f t="shared" ref="J10:J11" si="1">IF(G10&gt;0,H10-G10,"")</f>
        <v>0</v>
      </c>
      <c r="K10" s="131" t="str">
        <f>IF(H10&lt;&gt;G10,"þ"," ")</f>
        <v xml:space="preserve"> </v>
      </c>
    </row>
    <row r="11" spans="1:11" ht="12.75" customHeight="1">
      <c r="A11" s="77"/>
      <c r="B11" s="6"/>
      <c r="C11" s="4"/>
      <c r="D11" s="13" t="s">
        <v>6</v>
      </c>
      <c r="E11" s="155">
        <v>10355.73</v>
      </c>
      <c r="F11" s="153">
        <v>10355.73</v>
      </c>
      <c r="G11" s="156">
        <v>12737.55</v>
      </c>
      <c r="H11" s="154">
        <v>12737.55</v>
      </c>
      <c r="I11" s="148">
        <f t="shared" si="0"/>
        <v>0</v>
      </c>
      <c r="J11" s="148">
        <f t="shared" si="1"/>
        <v>0</v>
      </c>
      <c r="K11" s="131" t="str">
        <f>IF(H11&lt;&gt;G11,"þ"," ")</f>
        <v xml:space="preserve"> 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88">
        <v>29.7</v>
      </c>
      <c r="F12" s="140">
        <v>29.63</v>
      </c>
      <c r="G12" s="145">
        <v>36.53</v>
      </c>
      <c r="H12" s="146">
        <v>36.44</v>
      </c>
      <c r="I12" s="147">
        <f t="shared" si="0"/>
        <v>-2.4637284423761896E-3</v>
      </c>
      <c r="J12" s="132">
        <f t="shared" ref="J12" si="2">IF(G12&gt;0,H12-G12,"")</f>
        <v>-9.0000000000003411E-2</v>
      </c>
      <c r="K12" s="131" t="str">
        <f>IF(H12&lt;&gt;G12,"þ"," ")</f>
        <v>þ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6.87</v>
      </c>
      <c r="F13" s="153">
        <v>6.87</v>
      </c>
      <c r="G13" s="156">
        <v>8.4499999999999993</v>
      </c>
      <c r="H13" s="154">
        <v>8.4499999999999993</v>
      </c>
      <c r="I13" s="148">
        <f t="shared" si="0"/>
        <v>0</v>
      </c>
      <c r="J13" s="148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39" t="s">
        <v>74</v>
      </c>
      <c r="F17" s="44" t="s">
        <v>75</v>
      </c>
      <c r="G17" s="139" t="s">
        <v>74</v>
      </c>
      <c r="H17" s="44" t="s">
        <v>75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88">
        <v>66521.570000000007</v>
      </c>
      <c r="F18" s="140">
        <v>71117.98</v>
      </c>
      <c r="G18" s="145">
        <v>81821.53</v>
      </c>
      <c r="H18" s="146">
        <v>87475.12</v>
      </c>
      <c r="I18" s="147">
        <f>IF(G18&gt;0,H18/G18-1,"")</f>
        <v>6.9096605746678197E-2</v>
      </c>
      <c r="J18" s="132">
        <f>IF(G18&gt;0,H18-G18,"")</f>
        <v>5653.5899999999965</v>
      </c>
      <c r="K18" s="131" t="str">
        <f>IF(H18&lt;&gt;G18,"þ"," ")</f>
        <v>þ</v>
      </c>
    </row>
    <row r="19" spans="1:11" ht="12.75" customHeight="1">
      <c r="A19" s="77"/>
      <c r="B19" s="6"/>
      <c r="C19" s="4"/>
      <c r="D19" s="13" t="s">
        <v>6</v>
      </c>
      <c r="E19" s="88">
        <v>5543.46</v>
      </c>
      <c r="F19" s="140">
        <v>5926.5</v>
      </c>
      <c r="G19" s="145">
        <v>6818.46</v>
      </c>
      <c r="H19" s="146">
        <v>7289.6</v>
      </c>
      <c r="I19" s="147">
        <f>IF(G19&gt;0,H19/G19-1,"")</f>
        <v>6.9097714146596267E-2</v>
      </c>
      <c r="J19" s="132">
        <f>IF(G19&gt;0,H19-G19,"")</f>
        <v>471.14000000000033</v>
      </c>
      <c r="K19" s="131" t="str">
        <f>IF(H19&lt;&gt;G19,"þ"," ")</f>
        <v>þ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88">
        <v>14.99</v>
      </c>
      <c r="F20" s="140">
        <v>15.47</v>
      </c>
      <c r="G20" s="145">
        <v>18.440000000000001</v>
      </c>
      <c r="H20" s="146">
        <v>19.03</v>
      </c>
      <c r="I20" s="147">
        <f>IF(G20&gt;0,H20/G20-1,"")</f>
        <v>3.1995661605206172E-2</v>
      </c>
      <c r="J20" s="132">
        <f>IF(G20&gt;0,H20-G20,"")</f>
        <v>0.58999999999999986</v>
      </c>
      <c r="K20" s="131" t="str">
        <f>IF(H20&lt;&gt;G20,"þ"," ")</f>
        <v>þ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39" t="s">
        <v>74</v>
      </c>
      <c r="F24" s="44" t="s">
        <v>75</v>
      </c>
      <c r="G24" s="139" t="s">
        <v>74</v>
      </c>
      <c r="H24" s="44" t="s">
        <v>75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88">
        <v>54008.22</v>
      </c>
      <c r="F25" s="140">
        <v>58816.99</v>
      </c>
      <c r="G25" s="145">
        <v>66430.11</v>
      </c>
      <c r="H25" s="146">
        <v>72344.899999999994</v>
      </c>
      <c r="I25" s="147">
        <f>IF(G25&gt;0,H25/G25-1,"")</f>
        <v>8.9037787232325805E-2</v>
      </c>
      <c r="J25" s="132">
        <f>IF(G25&gt;0,H25-G25,"")</f>
        <v>5914.7899999999936</v>
      </c>
      <c r="K25" s="131" t="str">
        <f>IF(H25&lt;&gt;G25,"þ"," ")</f>
        <v>þ</v>
      </c>
    </row>
    <row r="26" spans="1:11" ht="12.75" customHeight="1">
      <c r="A26" s="77"/>
      <c r="B26" s="6"/>
      <c r="C26" s="4"/>
      <c r="D26" s="13" t="s">
        <v>6</v>
      </c>
      <c r="E26" s="88">
        <v>4500.6899999999996</v>
      </c>
      <c r="F26" s="140">
        <v>4901.42</v>
      </c>
      <c r="G26" s="145">
        <v>5535.85</v>
      </c>
      <c r="H26" s="146">
        <v>6028.75</v>
      </c>
      <c r="I26" s="147">
        <f>IF(G26&gt;0,H26/G26-1,"")</f>
        <v>8.9037817137386233E-2</v>
      </c>
      <c r="J26" s="132">
        <f>IF(G26&gt;0,H26-G26,"")</f>
        <v>492.89999999999964</v>
      </c>
      <c r="K26" s="131" t="str">
        <f>IF(H26&lt;&gt;G26,"þ"," ")</f>
        <v>þ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88">
        <v>15.61</v>
      </c>
      <c r="F27" s="140">
        <v>16.48</v>
      </c>
      <c r="G27" s="145">
        <v>19.2</v>
      </c>
      <c r="H27" s="146">
        <v>20.27</v>
      </c>
      <c r="I27" s="147">
        <f>IF(G27&gt;0,H27/G27-1,"")</f>
        <v>5.5729166666666607E-2</v>
      </c>
      <c r="J27" s="132">
        <f>IF(G27&gt;0,H27-G27,"")</f>
        <v>1.0700000000000003</v>
      </c>
      <c r="K27" s="131" t="str">
        <f>IF(H27&lt;&gt;G27,"þ"," ")</f>
        <v>þ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39" t="s">
        <v>74</v>
      </c>
      <c r="F31" s="44" t="s">
        <v>75</v>
      </c>
      <c r="G31" s="139" t="s">
        <v>74</v>
      </c>
      <c r="H31" s="44" t="s">
        <v>75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88">
        <v>66624.67</v>
      </c>
      <c r="F32" s="140">
        <v>72400.490000000005</v>
      </c>
      <c r="G32" s="145">
        <v>81948.34</v>
      </c>
      <c r="H32" s="146">
        <v>89052.6</v>
      </c>
      <c r="I32" s="147">
        <f>IF(G32&gt;0,H32/G32-1,"")</f>
        <v>8.6691932990955234E-2</v>
      </c>
      <c r="J32" s="132">
        <f>IF(G32&gt;0,H32-G32,"")</f>
        <v>7104.2600000000093</v>
      </c>
      <c r="K32" s="131" t="str">
        <f>IF(H32&lt;&gt;G32,"þ"," ")</f>
        <v>þ</v>
      </c>
    </row>
    <row r="33" spans="1:11" ht="12.75" customHeight="1">
      <c r="A33" s="77"/>
      <c r="B33" s="6"/>
      <c r="C33" s="4"/>
      <c r="D33" s="13" t="s">
        <v>6</v>
      </c>
      <c r="E33" s="88">
        <v>5552.06</v>
      </c>
      <c r="F33" s="140">
        <v>6033.37</v>
      </c>
      <c r="G33" s="145">
        <v>6829.03</v>
      </c>
      <c r="H33" s="146">
        <v>7421.05</v>
      </c>
      <c r="I33" s="147">
        <f>IF(G33&gt;0,H33/G33-1,"")</f>
        <v>8.6691667777122117E-2</v>
      </c>
      <c r="J33" s="132">
        <f>IF(G33&gt;0,H33-G33,"")</f>
        <v>592.02000000000044</v>
      </c>
      <c r="K33" s="131" t="str">
        <f>IF(H33&lt;&gt;G33,"þ"," ")</f>
        <v>þ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88">
        <v>14.94</v>
      </c>
      <c r="F34" s="140">
        <v>15.55</v>
      </c>
      <c r="G34" s="145">
        <v>18.38</v>
      </c>
      <c r="H34" s="146">
        <v>19.13</v>
      </c>
      <c r="I34" s="147">
        <f>IF(G34&gt;0,H34/G34-1,"")</f>
        <v>4.0805223068552721E-2</v>
      </c>
      <c r="J34" s="132">
        <f>IF(G34&gt;0,H34-G34,"")</f>
        <v>0.75</v>
      </c>
      <c r="K34" s="131" t="str">
        <f>IF(H34&lt;&gt;G34,"þ"," ")</f>
        <v>þ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39" t="s">
        <v>74</v>
      </c>
      <c r="H38" s="44" t="s">
        <v>75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54.97</v>
      </c>
      <c r="H39" s="146">
        <f>H12+H20</f>
        <v>55.47</v>
      </c>
      <c r="I39" s="147">
        <f>IF(G39&gt;0,H39/G39-1,"")</f>
        <v>9.0958704748045349E-3</v>
      </c>
      <c r="J39" s="132">
        <f>IF(G39&gt;0,H39-G39,"")</f>
        <v>0.5</v>
      </c>
      <c r="K39" s="131" t="str">
        <f>IF(H39&lt;&gt;G39,"þ"," ")</f>
        <v>þ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45">
        <f>G12+G27</f>
        <v>55.730000000000004</v>
      </c>
      <c r="H40" s="146">
        <f>H12+H27</f>
        <v>56.709999999999994</v>
      </c>
      <c r="I40" s="147">
        <f>IF(G40&gt;0,H40/G40-1,"")</f>
        <v>1.7584783778934021E-2</v>
      </c>
      <c r="J40" s="132">
        <f>IF(G40&gt;0,H40-G40,"")</f>
        <v>0.97999999999998977</v>
      </c>
      <c r="K40" s="131" t="str">
        <f>IF(H40&lt;&gt;G40,"þ"," ")</f>
        <v>þ</v>
      </c>
    </row>
    <row r="41" spans="1:11" ht="12.75" customHeight="1">
      <c r="A41" s="77"/>
      <c r="B41" s="104" t="s">
        <v>53</v>
      </c>
      <c r="E41" s="9"/>
      <c r="F41" s="29" t="s">
        <v>20</v>
      </c>
      <c r="G41" s="145">
        <f>G12+G34</f>
        <v>54.91</v>
      </c>
      <c r="H41" s="146">
        <f>H12+H34</f>
        <v>55.569999999999993</v>
      </c>
      <c r="I41" s="147">
        <f>IF(G41&gt;0,H41/G41-1,"")</f>
        <v>1.2019668548533868E-2</v>
      </c>
      <c r="J41" s="132">
        <f>IF(G41&gt;0,H41-G41,"")</f>
        <v>0.65999999999999659</v>
      </c>
      <c r="K41" s="131" t="str">
        <f>IF(H41&lt;&gt;G41,"þ"," ")</f>
        <v>þ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16" t="s">
        <v>71</v>
      </c>
      <c r="F44" s="44" t="s">
        <v>72</v>
      </c>
      <c r="G44" s="116" t="s">
        <v>71</v>
      </c>
      <c r="H44" s="44" t="s">
        <v>72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155">
        <v>203446.53</v>
      </c>
      <c r="F45" s="153">
        <v>203446.53</v>
      </c>
      <c r="G45" s="156">
        <f t="shared" ref="G45:H48" si="4">E45*1.23</f>
        <v>250239.23189999998</v>
      </c>
      <c r="H45" s="154">
        <f t="shared" si="4"/>
        <v>250239.23189999998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>
      <c r="A46" s="77"/>
      <c r="B46" s="6"/>
      <c r="C46" s="4"/>
      <c r="D46" s="13" t="s">
        <v>6</v>
      </c>
      <c r="E46" s="155">
        <v>16953.88</v>
      </c>
      <c r="F46" s="153">
        <v>16953.88</v>
      </c>
      <c r="G46" s="156">
        <f t="shared" si="4"/>
        <v>20853.272400000002</v>
      </c>
      <c r="H46" s="154">
        <f t="shared" si="4"/>
        <v>20853.272400000002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155">
        <v>46.02</v>
      </c>
      <c r="F47" s="153">
        <v>46.02</v>
      </c>
      <c r="G47" s="156">
        <f t="shared" si="4"/>
        <v>56.604600000000005</v>
      </c>
      <c r="H47" s="154">
        <f t="shared" si="4"/>
        <v>56.604600000000005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155">
        <v>18.79</v>
      </c>
      <c r="F48" s="153">
        <v>18.79</v>
      </c>
      <c r="G48" s="156">
        <f t="shared" si="4"/>
        <v>23.111699999999999</v>
      </c>
      <c r="H48" s="154">
        <f t="shared" si="4"/>
        <v>23.111699999999999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39" t="s">
        <v>74</v>
      </c>
      <c r="F52" s="44" t="s">
        <v>75</v>
      </c>
      <c r="G52" s="139" t="s">
        <v>74</v>
      </c>
      <c r="H52" s="44" t="s">
        <v>75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88">
        <v>29984.06</v>
      </c>
      <c r="F53" s="140">
        <v>33347.440000000002</v>
      </c>
      <c r="G53" s="145">
        <v>36880.39</v>
      </c>
      <c r="H53" s="146">
        <v>41017.35</v>
      </c>
      <c r="I53" s="147">
        <f t="shared" ref="I53:I55" si="7">IF(G53&gt;0,H53/G53-1,"")</f>
        <v>0.1121723495874094</v>
      </c>
      <c r="J53" s="132">
        <f t="shared" ref="J53:J55" si="8">IF(G53&gt;0,H53-G53,"")</f>
        <v>4136.9599999999991</v>
      </c>
      <c r="K53" s="131" t="str">
        <f>IF(H53&lt;&gt;G53,"þ"," ")</f>
        <v>þ</v>
      </c>
    </row>
    <row r="54" spans="1:11" ht="12.75" customHeight="1">
      <c r="A54" s="77"/>
      <c r="B54" s="6"/>
      <c r="C54" s="4"/>
      <c r="D54" s="13" t="s">
        <v>6</v>
      </c>
      <c r="E54" s="88">
        <v>2498.67</v>
      </c>
      <c r="F54" s="140">
        <v>2778.95</v>
      </c>
      <c r="G54" s="145">
        <v>3073.36</v>
      </c>
      <c r="H54" s="146">
        <v>3418.11</v>
      </c>
      <c r="I54" s="147">
        <f t="shared" si="7"/>
        <v>0.11217364708332256</v>
      </c>
      <c r="J54" s="132">
        <f t="shared" si="8"/>
        <v>344.75</v>
      </c>
      <c r="K54" s="131" t="str">
        <f>IF(H54&lt;&gt;G54,"þ"," ")</f>
        <v>þ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88">
        <v>8.73</v>
      </c>
      <c r="F55" s="140">
        <v>9.43</v>
      </c>
      <c r="G55" s="145">
        <v>10.74</v>
      </c>
      <c r="H55" s="146">
        <v>11.6</v>
      </c>
      <c r="I55" s="147">
        <f t="shared" si="7"/>
        <v>8.0074487895716917E-2</v>
      </c>
      <c r="J55" s="132">
        <f t="shared" si="8"/>
        <v>0.85999999999999943</v>
      </c>
      <c r="K55" s="131" t="str">
        <f>IF(H55&lt;&gt;G55,"þ"," ")</f>
        <v>þ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44136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Nowe taryfy dla ciepła MPEC-KONIN Sp. z o.o. obowiązujące od dnia 2020-11-01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2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0.64679649411086126</v>
      </c>
      <c r="I28" s="115">
        <f>1-H28</f>
        <v>0.35320350588913874</v>
      </c>
      <c r="J28" s="30"/>
      <c r="K28" s="130"/>
    </row>
    <row r="29" spans="1:12" ht="12.75" customHeight="1">
      <c r="A29" s="77"/>
      <c r="B29" s="4"/>
      <c r="D29" s="120">
        <f>I11*Ceny!G11</f>
        <v>101.90039999999999</v>
      </c>
      <c r="E29" s="120">
        <f>I11*Ceny!G46</f>
        <v>166.82617920000001</v>
      </c>
      <c r="F29" s="120"/>
      <c r="G29" s="120"/>
      <c r="H29" s="115">
        <f>1-H28+0.001</f>
        <v>0.35420350588913874</v>
      </c>
      <c r="I29" s="115">
        <f>1-H29</f>
        <v>0.64579649411086126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730.6</v>
      </c>
      <c r="E30" s="120">
        <f>I20*Ceny!G47</f>
        <v>1132.0920000000001</v>
      </c>
      <c r="F30" s="117"/>
      <c r="G30" s="116"/>
      <c r="H30" s="141">
        <f>IF(F20=1,IF(E15&lt;=3,D29,E29),0)</f>
        <v>101.90039999999999</v>
      </c>
      <c r="I30" s="32">
        <f>IF(F20=1,IF(E15&lt;=3,D31,E31),0)</f>
        <v>101.90039999999999</v>
      </c>
      <c r="J30" s="149">
        <f>IF(H30&gt;0,I30/H30-1,0)</f>
        <v>0</v>
      </c>
      <c r="K30" s="131" t="str">
        <f>IF(H30&lt;&gt;I30,"þ"," ")</f>
        <v xml:space="preserve"> </v>
      </c>
    </row>
    <row r="31" spans="1:12" ht="12.75" customHeight="1">
      <c r="A31" s="77"/>
      <c r="B31" s="6"/>
      <c r="C31" s="59" t="s">
        <v>69</v>
      </c>
      <c r="D31" s="121">
        <f>I11*Ceny!H11</f>
        <v>101.90039999999999</v>
      </c>
      <c r="E31" s="121">
        <f>I11*Ceny!H46</f>
        <v>166.82617920000001</v>
      </c>
      <c r="F31" s="118"/>
      <c r="G31" s="118"/>
      <c r="H31" s="91">
        <f>IF(F20=1,IF(E15&lt;=3,D30,E30),0)</f>
        <v>730.6</v>
      </c>
      <c r="I31" s="60">
        <f>IF(F20=1,IF(E15&lt;=3,D32,E32),0)</f>
        <v>728.8</v>
      </c>
      <c r="J31" s="151">
        <f>IF(H31&gt;0,I31/H31-1,0)</f>
        <v>-2.4637284423761896E-3</v>
      </c>
      <c r="K31" s="131" t="str">
        <f t="shared" ref="K31:K36" si="0">IF(H31&lt;&gt;I31,"þ"," ")</f>
        <v>þ</v>
      </c>
    </row>
    <row r="32" spans="1:12" ht="12.75" customHeight="1">
      <c r="A32" s="77"/>
      <c r="B32" s="6"/>
      <c r="C32" s="12" t="s">
        <v>70</v>
      </c>
      <c r="D32" s="122">
        <f>I20*Ceny!H12</f>
        <v>728.8</v>
      </c>
      <c r="E32" s="122">
        <f>I20*Ceny!H47</f>
        <v>1132.0920000000001</v>
      </c>
      <c r="F32" s="113"/>
      <c r="G32" s="113"/>
      <c r="H32" s="85">
        <f>SUM(H30:H31)</f>
        <v>832.50040000000001</v>
      </c>
      <c r="I32" s="33">
        <f>SUM(I30:I31)</f>
        <v>830.70039999999995</v>
      </c>
      <c r="J32" s="150">
        <f>IF(H32&gt;0,I32/H32-1,0)</f>
        <v>-2.1621611232860438E-3</v>
      </c>
      <c r="K32" s="131" t="str">
        <f t="shared" si="0"/>
        <v>þ</v>
      </c>
    </row>
    <row r="33" spans="1:12" ht="12.75" customHeight="1">
      <c r="A33" s="77"/>
      <c r="B33" s="6"/>
      <c r="C33" s="4"/>
      <c r="D33" s="120">
        <f>I11*Ceny!G19</f>
        <v>54.54768</v>
      </c>
      <c r="E33" s="120">
        <f>I11*Ceny!G26</f>
        <v>44.286800000000007</v>
      </c>
      <c r="F33" s="120">
        <f>I11*Ceny!G33</f>
        <v>54.632239999999996</v>
      </c>
      <c r="G33" s="120">
        <f>I11*Ceny!G54</f>
        <v>24.586880000000001</v>
      </c>
      <c r="H33" s="86"/>
      <c r="I33" s="34" t="s">
        <v>40</v>
      </c>
      <c r="J33" s="90">
        <f>I32-H32</f>
        <v>-1.8000000000000682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368.8</v>
      </c>
      <c r="E34" s="120">
        <f>I20*Ceny!G27</f>
        <v>384</v>
      </c>
      <c r="F34" s="120">
        <f>I20*Ceny!G34</f>
        <v>367.59999999999997</v>
      </c>
      <c r="G34" s="120">
        <f>I20*Ceny!G55</f>
        <v>214.8</v>
      </c>
      <c r="H34" s="141">
        <f>IF(F20=1,IF(E15=1,D33,IF(E15=2,E33,IF(E15=3,F33,IF(E15=4,G33,0)))),0)</f>
        <v>44.286800000000007</v>
      </c>
      <c r="I34" s="32">
        <f>IF(F20=1,IF(E15=1,D35,IF(E15=2,E35,IF(E15=3,F35,IF(E15=4,G35,0)))),0)</f>
        <v>48.230000000000004</v>
      </c>
      <c r="J34" s="149">
        <f>IF(H34&gt;0,I34/H34-1,0)</f>
        <v>8.9037817137386233E-2</v>
      </c>
      <c r="K34" s="131" t="str">
        <f t="shared" si="0"/>
        <v>þ</v>
      </c>
    </row>
    <row r="35" spans="1:12" ht="12.75" customHeight="1">
      <c r="A35" s="77"/>
      <c r="B35" s="6"/>
      <c r="C35" s="59" t="s">
        <v>35</v>
      </c>
      <c r="D35" s="121">
        <f>I11*Ceny!H19</f>
        <v>58.316800000000001</v>
      </c>
      <c r="E35" s="121">
        <f>I11*Ceny!H26</f>
        <v>48.230000000000004</v>
      </c>
      <c r="F35" s="121">
        <f>I11*Ceny!H33</f>
        <v>59.368400000000001</v>
      </c>
      <c r="G35" s="121">
        <f>I11*Ceny!H54</f>
        <v>27.34488</v>
      </c>
      <c r="H35" s="91">
        <f>IF(F20=1,IF(E15=1,D34,IF(E15=2,E34,IF(E15=3,F34,IF(E15=4,G34,0)))),0)</f>
        <v>384</v>
      </c>
      <c r="I35" s="60">
        <f>IF(F20=1,IF(E15=1,D36,IF(E15=2,E36,IF(E15=3,F36,IF(E15=4,G36,0)))),0)</f>
        <v>405.4</v>
      </c>
      <c r="J35" s="151">
        <f>IF(H35&gt;0,I35/H35-1,0)</f>
        <v>5.5729166666666607E-2</v>
      </c>
      <c r="K35" s="131" t="str">
        <f>IF(H35&lt;&gt;I35,"þ"," ")</f>
        <v>þ</v>
      </c>
    </row>
    <row r="36" spans="1:12" ht="12.75" customHeight="1">
      <c r="A36" s="77"/>
      <c r="B36" s="6"/>
      <c r="C36" s="12" t="s">
        <v>45</v>
      </c>
      <c r="D36" s="122">
        <f>I20*Ceny!H20</f>
        <v>380.6</v>
      </c>
      <c r="E36" s="122">
        <f>I20*Ceny!H27</f>
        <v>405.4</v>
      </c>
      <c r="F36" s="122">
        <f>I20*Ceny!H34</f>
        <v>382.59999999999997</v>
      </c>
      <c r="G36" s="122">
        <f>I20*Ceny!H55</f>
        <v>232</v>
      </c>
      <c r="H36" s="85">
        <f>SUM(H34:H35)</f>
        <v>428.28680000000003</v>
      </c>
      <c r="I36" s="33">
        <f>SUM(I34:I35)</f>
        <v>453.63</v>
      </c>
      <c r="J36" s="150">
        <f>IF(H36&gt;0,I36/H36-1,0)</f>
        <v>5.9173432382225943E-2</v>
      </c>
      <c r="K36" s="131" t="str">
        <f t="shared" si="0"/>
        <v>þ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1260.7872</v>
      </c>
      <c r="I40" s="62">
        <f>I32+I36+I38</f>
        <v>1284.3303999999998</v>
      </c>
      <c r="J40" s="152">
        <f>IF(H40&gt;0,I40/H40-1,0)</f>
        <v>1.8673412928049915E-2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23.543199999999842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1222.8040800000001</v>
      </c>
      <c r="E45" s="120">
        <f>I11*Ceny!G45</f>
        <v>2001.9138551999999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730.6</v>
      </c>
      <c r="E46" s="120">
        <f>I20*Ceny!G47</f>
        <v>1132.0920000000001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1222.8040800000001</v>
      </c>
      <c r="E47" s="121">
        <f>I11*Ceny!H45</f>
        <v>2001.9138551999999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728.8</v>
      </c>
      <c r="E48" s="133">
        <f>I20*Ceny!H47</f>
        <v>1132.0920000000001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654.57223999999997</v>
      </c>
      <c r="E49" s="120">
        <f>I11*Ceny!G25</f>
        <v>531.44087999999999</v>
      </c>
      <c r="F49" s="120">
        <f>I11*Ceny!G32</f>
        <v>655.58672000000001</v>
      </c>
      <c r="G49" s="120">
        <f>I11*Ceny!G53</f>
        <v>295.04311999999999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368.8</v>
      </c>
      <c r="E50" s="120">
        <f>I20*Ceny!G27</f>
        <v>384</v>
      </c>
      <c r="F50" s="120">
        <f>I20*Ceny!G34</f>
        <v>367.59999999999997</v>
      </c>
      <c r="G50" s="120">
        <f>I20*Ceny!G55</f>
        <v>214.8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699.80096000000003</v>
      </c>
      <c r="E51" s="121">
        <f>I11*Ceny!H25</f>
        <v>578.75919999999996</v>
      </c>
      <c r="F51" s="121">
        <f>I11*Ceny!H32</f>
        <v>712.4208000000001</v>
      </c>
      <c r="G51" s="121">
        <f>I11*Ceny!H53</f>
        <v>328.1388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380.6</v>
      </c>
      <c r="E52" s="122">
        <f>I20*Ceny!H27</f>
        <v>405.4</v>
      </c>
      <c r="F52" s="122">
        <f>I20*Ceny!H34</f>
        <v>382.59999999999997</v>
      </c>
      <c r="G52" s="122">
        <f>I20*Ceny!H55</f>
        <v>232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2020-10-19T06:33:32Z</dcterms:modified>
</cp:coreProperties>
</file>