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Default Extension="emf" ContentType="image/x-emf"/>
  <Default Extension="jpeg" ContentType="image/jpeg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15" yWindow="-15" windowWidth="19260" windowHeight="12015" activeTab="1"/>
  </bookViews>
  <sheets>
    <sheet name="Ceny" sheetId="1" r:id="rId1"/>
    <sheet name="Kalkulator" sheetId="5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C56" i="5"/>
  <c r="C43"/>
  <c r="C40"/>
  <c r="H39" i="1"/>
  <c r="G48"/>
  <c r="H48"/>
  <c r="H47"/>
  <c r="G47"/>
  <c r="H46"/>
  <c r="G46"/>
  <c r="H45"/>
  <c r="G45"/>
  <c r="H55"/>
  <c r="G55"/>
  <c r="H54"/>
  <c r="G54"/>
  <c r="H53"/>
  <c r="G53"/>
  <c r="G39"/>
  <c r="G40"/>
  <c r="H40"/>
  <c r="G41"/>
  <c r="H41"/>
  <c r="H34"/>
  <c r="G34"/>
  <c r="H33"/>
  <c r="G33"/>
  <c r="H32"/>
  <c r="G32"/>
  <c r="H27"/>
  <c r="G27"/>
  <c r="H26"/>
  <c r="G26"/>
  <c r="H25"/>
  <c r="G25"/>
  <c r="H20"/>
  <c r="G20"/>
  <c r="H19"/>
  <c r="G19"/>
  <c r="H18"/>
  <c r="G18"/>
  <c r="H11"/>
  <c r="H12"/>
  <c r="H13"/>
  <c r="H10"/>
  <c r="G11"/>
  <c r="G12"/>
  <c r="G13"/>
  <c r="G10"/>
  <c r="J3" i="5"/>
  <c r="C27"/>
  <c r="J13" i="1" l="1"/>
  <c r="I12"/>
  <c r="I10"/>
  <c r="J10"/>
  <c r="I11"/>
  <c r="I13"/>
  <c r="J11"/>
  <c r="K55"/>
  <c r="J55"/>
  <c r="I55"/>
  <c r="K54"/>
  <c r="J54"/>
  <c r="I54"/>
  <c r="K53"/>
  <c r="J53"/>
  <c r="I53"/>
  <c r="K48"/>
  <c r="J48"/>
  <c r="I48"/>
  <c r="K47"/>
  <c r="J47"/>
  <c r="I47"/>
  <c r="K46"/>
  <c r="J46"/>
  <c r="I46"/>
  <c r="K45"/>
  <c r="J45"/>
  <c r="I45"/>
  <c r="K34"/>
  <c r="J34"/>
  <c r="I34"/>
  <c r="K33"/>
  <c r="J33"/>
  <c r="I33"/>
  <c r="K32"/>
  <c r="J32"/>
  <c r="I32"/>
  <c r="K27"/>
  <c r="J27"/>
  <c r="I27"/>
  <c r="K26"/>
  <c r="J26"/>
  <c r="I26"/>
  <c r="K25"/>
  <c r="J25"/>
  <c r="I25"/>
  <c r="K20"/>
  <c r="J20"/>
  <c r="I20"/>
  <c r="K19"/>
  <c r="J19"/>
  <c r="I19"/>
  <c r="K18"/>
  <c r="J18"/>
  <c r="I18"/>
  <c r="K13"/>
  <c r="K12"/>
  <c r="J12"/>
  <c r="K11"/>
  <c r="K10"/>
  <c r="J40" l="1"/>
  <c r="I41"/>
  <c r="K41"/>
  <c r="J41"/>
  <c r="J39"/>
  <c r="I40"/>
  <c r="I39"/>
  <c r="K40"/>
  <c r="K39"/>
  <c r="D5" i="5"/>
  <c r="J2"/>
  <c r="I20"/>
  <c r="F36" s="1"/>
  <c r="I11"/>
  <c r="E51" s="1"/>
  <c r="I22"/>
  <c r="E29" l="1"/>
  <c r="F35"/>
  <c r="G35"/>
  <c r="E33"/>
  <c r="D31"/>
  <c r="G49"/>
  <c r="H50" s="1"/>
  <c r="D45"/>
  <c r="E49"/>
  <c r="D51"/>
  <c r="E47"/>
  <c r="I46" s="1"/>
  <c r="D49"/>
  <c r="F51"/>
  <c r="G51"/>
  <c r="I50" s="1"/>
  <c r="D29"/>
  <c r="E45"/>
  <c r="H46" s="1"/>
  <c r="J46" s="1"/>
  <c r="F49"/>
  <c r="D33"/>
  <c r="E35"/>
  <c r="E31"/>
  <c r="G33"/>
  <c r="D47"/>
  <c r="F33"/>
  <c r="D35"/>
  <c r="D30"/>
  <c r="D48"/>
  <c r="D34"/>
  <c r="G52"/>
  <c r="D36"/>
  <c r="G36"/>
  <c r="E30"/>
  <c r="E48"/>
  <c r="F52"/>
  <c r="D50"/>
  <c r="E36"/>
  <c r="G50"/>
  <c r="G34"/>
  <c r="D32"/>
  <c r="F50"/>
  <c r="E50"/>
  <c r="E52"/>
  <c r="E32"/>
  <c r="D46"/>
  <c r="E34"/>
  <c r="D52"/>
  <c r="E46"/>
  <c r="F34"/>
  <c r="K50" l="1"/>
  <c r="K46"/>
  <c r="J50"/>
  <c r="H34"/>
  <c r="I34"/>
  <c r="I30"/>
  <c r="H30"/>
  <c r="H47"/>
  <c r="H48" s="1"/>
  <c r="H31"/>
  <c r="I47"/>
  <c r="I48" s="1"/>
  <c r="H35"/>
  <c r="I31"/>
  <c r="I35"/>
  <c r="K34" l="1"/>
  <c r="H36"/>
  <c r="J34"/>
  <c r="J30"/>
  <c r="K30"/>
  <c r="H32"/>
  <c r="J47"/>
  <c r="J48"/>
  <c r="K47"/>
  <c r="J35"/>
  <c r="H51"/>
  <c r="H52" s="1"/>
  <c r="H56" s="1"/>
  <c r="I32"/>
  <c r="J31"/>
  <c r="K31"/>
  <c r="I51"/>
  <c r="K35"/>
  <c r="I36"/>
  <c r="J49"/>
  <c r="K48"/>
  <c r="J36" l="1"/>
  <c r="H40"/>
  <c r="J51"/>
  <c r="K51"/>
  <c r="I52"/>
  <c r="J52" s="1"/>
  <c r="K32"/>
  <c r="I40"/>
  <c r="J33"/>
  <c r="J32"/>
  <c r="K36"/>
  <c r="H28" l="1"/>
  <c r="K40"/>
  <c r="J41"/>
  <c r="J40"/>
  <c r="K52"/>
  <c r="I56"/>
  <c r="J56" s="1"/>
  <c r="H29" l="1"/>
  <c r="I29" s="1"/>
  <c r="I28"/>
  <c r="H44"/>
  <c r="J57"/>
  <c r="K56"/>
  <c r="H45" l="1"/>
  <c r="I45" s="1"/>
  <c r="I44"/>
</calcChain>
</file>

<file path=xl/sharedStrings.xml><?xml version="1.0" encoding="utf-8"?>
<sst xmlns="http://schemas.openxmlformats.org/spreadsheetml/2006/main" count="178" uniqueCount="77">
  <si>
    <t>Lp.</t>
  </si>
  <si>
    <t>Jedn.</t>
  </si>
  <si>
    <t>Netto</t>
  </si>
  <si>
    <t>Brutto</t>
  </si>
  <si>
    <t>Cena nośnika</t>
  </si>
  <si>
    <t>[zł/MW/rok]</t>
  </si>
  <si>
    <t>[zł/MW/mies.]</t>
  </si>
  <si>
    <t>[zł/GJ]</t>
  </si>
  <si>
    <t>[zł/m3]</t>
  </si>
  <si>
    <t>Wzrost</t>
  </si>
  <si>
    <t>Moc zamówiona</t>
  </si>
  <si>
    <t>Energia cieplna</t>
  </si>
  <si>
    <t>Ceny</t>
  </si>
  <si>
    <t>Opłata stała</t>
  </si>
  <si>
    <t>Opłata zmienna</t>
  </si>
  <si>
    <t>A1</t>
  </si>
  <si>
    <t>MPEC</t>
  </si>
  <si>
    <t>I.</t>
  </si>
  <si>
    <t>II.</t>
  </si>
  <si>
    <t>A2/A3</t>
  </si>
  <si>
    <t>A4</t>
  </si>
  <si>
    <t>II.1.</t>
  </si>
  <si>
    <t>II.2.</t>
  </si>
  <si>
    <t>II.3.</t>
  </si>
  <si>
    <t>III.</t>
  </si>
  <si>
    <t>Podsumowanie</t>
  </si>
  <si>
    <t>Grupa</t>
  </si>
  <si>
    <t>DANE</t>
  </si>
  <si>
    <t>[kW]</t>
  </si>
  <si>
    <t>[-]</t>
  </si>
  <si>
    <t>[GJ]</t>
  </si>
  <si>
    <t>Wybierz grupę odbiorcy</t>
  </si>
  <si>
    <t>[MW]</t>
  </si>
  <si>
    <t>[kWh]</t>
  </si>
  <si>
    <t>Opłata stała przesył</t>
  </si>
  <si>
    <t>Opłata zmienna przesył</t>
  </si>
  <si>
    <t>OPŁATY MIESIĘCZNE BRUTTO</t>
  </si>
  <si>
    <t>OPŁATY ROCZNE BRUTTO</t>
  </si>
  <si>
    <t>TARYFA OPŁAT ZA ENERGIĘ CIEPLNĄ</t>
  </si>
  <si>
    <t>MPEC-KONIN Sp. z o.o.</t>
  </si>
  <si>
    <t>Różnica</t>
  </si>
  <si>
    <t>Podaj moc zamówioną</t>
  </si>
  <si>
    <t>Podaj zużycie energii</t>
  </si>
  <si>
    <t>TAK</t>
  </si>
  <si>
    <t>Dodać Abonament (*)</t>
  </si>
  <si>
    <t>Razem opłaty przesył</t>
  </si>
  <si>
    <t>KALKULATOR OPŁAT</t>
  </si>
  <si>
    <t>þ</t>
  </si>
  <si>
    <t>Aktualnie</t>
  </si>
  <si>
    <t>Aktualizacja:</t>
  </si>
  <si>
    <t>Przyczyna zmian:</t>
  </si>
  <si>
    <t xml:space="preserve"> - pozycje zmienione</t>
  </si>
  <si>
    <t>Sieć ciepłownicza Nr 1</t>
  </si>
  <si>
    <t>Sieć ciepłownicza Nr 2</t>
  </si>
  <si>
    <t>IV.1.</t>
  </si>
  <si>
    <r>
      <t xml:space="preserve">      </t>
    </r>
    <r>
      <rPr>
        <b/>
        <sz val="8"/>
        <color indexed="50"/>
        <rFont val="Arial CE"/>
        <charset val="238"/>
      </rPr>
      <t xml:space="preserve">    Sieć Nr 1 </t>
    </r>
    <r>
      <rPr>
        <sz val="8"/>
        <rFont val="Arial CE"/>
        <charset val="238"/>
      </rPr>
      <t xml:space="preserve">- Węzeł i Przyłącze - właściciel </t>
    </r>
    <r>
      <rPr>
        <b/>
        <sz val="8"/>
        <rFont val="Arial CE"/>
        <charset val="238"/>
      </rPr>
      <t>MPEC-KONIN</t>
    </r>
  </si>
  <si>
    <r>
      <t xml:space="preserve">      </t>
    </r>
    <r>
      <rPr>
        <b/>
        <sz val="8"/>
        <color indexed="50"/>
        <rFont val="Arial CE"/>
        <charset val="238"/>
      </rPr>
      <t xml:space="preserve">    Sieć Nr 1 </t>
    </r>
    <r>
      <rPr>
        <sz val="8"/>
        <rFont val="Arial CE"/>
        <charset val="238"/>
      </rPr>
      <t xml:space="preserve">- Węzeł - </t>
    </r>
    <r>
      <rPr>
        <b/>
        <sz val="8"/>
        <rFont val="Arial CE"/>
        <charset val="238"/>
      </rPr>
      <t>ODBIORCY,</t>
    </r>
    <r>
      <rPr>
        <sz val="8"/>
        <rFont val="Arial CE"/>
        <charset val="238"/>
      </rPr>
      <t xml:space="preserve"> przyłącze - </t>
    </r>
    <r>
      <rPr>
        <b/>
        <sz val="8"/>
        <rFont val="Arial CE"/>
        <charset val="238"/>
      </rPr>
      <t>RÓŻNIE</t>
    </r>
  </si>
  <si>
    <r>
      <t xml:space="preserve">      </t>
    </r>
    <r>
      <rPr>
        <b/>
        <sz val="8"/>
        <color indexed="50"/>
        <rFont val="Arial CE"/>
        <charset val="238"/>
      </rPr>
      <t xml:space="preserve">    Sieć Nr 1 </t>
    </r>
    <r>
      <rPr>
        <sz val="8"/>
        <rFont val="Arial CE"/>
        <charset val="238"/>
      </rPr>
      <t xml:space="preserve">- Węzeł i Przyłącze - </t>
    </r>
    <r>
      <rPr>
        <b/>
        <sz val="8"/>
        <rFont val="Arial CE"/>
        <charset val="238"/>
      </rPr>
      <t>MPEC-KONIN</t>
    </r>
    <r>
      <rPr>
        <sz val="8"/>
        <rFont val="Arial CE"/>
        <charset val="238"/>
      </rPr>
      <t xml:space="preserve"> (węzeł grupowy)</t>
    </r>
  </si>
  <si>
    <r>
      <t xml:space="preserve">       </t>
    </r>
    <r>
      <rPr>
        <b/>
        <sz val="8"/>
        <color indexed="50"/>
        <rFont val="Arial CE"/>
        <charset val="238"/>
      </rPr>
      <t xml:space="preserve">   </t>
    </r>
    <r>
      <rPr>
        <b/>
        <sz val="8"/>
        <color indexed="62"/>
        <rFont val="Arial CE"/>
        <charset val="238"/>
      </rPr>
      <t>Sieć Nr 2</t>
    </r>
    <r>
      <rPr>
        <b/>
        <sz val="8"/>
        <color indexed="50"/>
        <rFont val="Arial CE"/>
        <charset val="238"/>
      </rPr>
      <t xml:space="preserve"> </t>
    </r>
    <r>
      <rPr>
        <sz val="8"/>
        <rFont val="Arial CE"/>
        <charset val="238"/>
      </rPr>
      <t xml:space="preserve">- </t>
    </r>
    <r>
      <rPr>
        <b/>
        <sz val="8"/>
        <rFont val="Arial CE"/>
        <charset val="238"/>
      </rPr>
      <t>MPEC-KONIN</t>
    </r>
    <r>
      <rPr>
        <sz val="8"/>
        <rFont val="Arial CE"/>
        <charset val="238"/>
      </rPr>
      <t xml:space="preserve"> - Rozdzielacz - </t>
    </r>
    <r>
      <rPr>
        <b/>
        <sz val="8"/>
        <rFont val="Arial CE"/>
        <charset val="238"/>
      </rPr>
      <t>ODBIORCY</t>
    </r>
    <r>
      <rPr>
        <sz val="8"/>
        <rFont val="Arial CE"/>
        <charset val="238"/>
      </rPr>
      <t xml:space="preserve"> (kotłownia)</t>
    </r>
  </si>
  <si>
    <t>IV.2.</t>
  </si>
  <si>
    <t>Poprzednio</t>
  </si>
  <si>
    <t>GRUPA A1</t>
  </si>
  <si>
    <t>GRUPA A2/A3</t>
  </si>
  <si>
    <t>GRUPA A4</t>
  </si>
  <si>
    <t>GRUPA A5</t>
  </si>
  <si>
    <t>ZE PAK / ZTUOK</t>
  </si>
  <si>
    <t>Opłata stała źródeł</t>
  </si>
  <si>
    <t>Opłata zmienna źródeł</t>
  </si>
  <si>
    <t>Razem opłaty źródeł</t>
  </si>
  <si>
    <t>do 21-11-30</t>
  </si>
  <si>
    <t>od 21-12-01</t>
  </si>
  <si>
    <t>do 22-07-31</t>
  </si>
  <si>
    <t>od 22-08-01</t>
  </si>
  <si>
    <t>do 22-08-08</t>
  </si>
  <si>
    <t>od 22-08-09</t>
  </si>
  <si>
    <t>Nowa taryfa dla ciepła MZGOK Sp. z o.o. obowiązująca od dnia 2022-08-09</t>
  </si>
  <si>
    <t>VAT=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</si>
</sst>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,##0.000"/>
    <numFmt numFmtId="166" formatCode="#,##0.00\ &quot;zł&quot;"/>
    <numFmt numFmtId="167" formatCode="0.0%"/>
  </numFmts>
  <fonts count="49">
    <font>
      <sz val="10"/>
      <name val="Arial CE"/>
      <charset val="238"/>
    </font>
    <font>
      <sz val="10"/>
      <name val="Arial CE"/>
      <charset val="238"/>
    </font>
    <font>
      <sz val="10"/>
      <color indexed="12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0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sz val="1"/>
      <color indexed="47"/>
      <name val="Arial CE"/>
      <family val="2"/>
      <charset val="238"/>
    </font>
    <font>
      <b/>
      <sz val="10"/>
      <color indexed="10"/>
      <name val="Arial CE"/>
      <charset val="238"/>
    </font>
    <font>
      <sz val="8"/>
      <name val="Arial CE"/>
      <charset val="238"/>
    </font>
    <font>
      <sz val="8"/>
      <color indexed="23"/>
      <name val="Arial CE"/>
      <charset val="238"/>
    </font>
    <font>
      <b/>
      <sz val="8"/>
      <color indexed="23"/>
      <name val="Arial CE"/>
      <charset val="238"/>
    </font>
    <font>
      <b/>
      <sz val="1"/>
      <color indexed="42"/>
      <name val="Arial CE"/>
      <charset val="238"/>
    </font>
    <font>
      <sz val="10"/>
      <color indexed="9"/>
      <name val="Arial CE"/>
      <charset val="238"/>
    </font>
    <font>
      <sz val="1"/>
      <color indexed="9"/>
      <name val="Arial CE"/>
      <charset val="238"/>
    </font>
    <font>
      <b/>
      <sz val="1"/>
      <color indexed="9"/>
      <name val="Arial CE"/>
      <charset val="238"/>
    </font>
    <font>
      <b/>
      <sz val="8"/>
      <name val="Arial CE"/>
      <charset val="238"/>
    </font>
    <font>
      <sz val="10"/>
      <color indexed="47"/>
      <name val="Arial CE"/>
      <charset val="238"/>
    </font>
    <font>
      <sz val="10"/>
      <color indexed="10"/>
      <name val="Arial CE"/>
      <charset val="238"/>
    </font>
    <font>
      <sz val="10"/>
      <color indexed="12"/>
      <name val="Arial CE"/>
      <charset val="238"/>
    </font>
    <font>
      <b/>
      <sz val="10"/>
      <name val="Arial CE"/>
      <charset val="238"/>
    </font>
    <font>
      <b/>
      <sz val="12"/>
      <color indexed="50"/>
      <name val="Arial CE"/>
      <charset val="238"/>
    </font>
    <font>
      <sz val="10"/>
      <color indexed="9"/>
      <name val="Arial CE"/>
      <family val="2"/>
      <charset val="238"/>
    </font>
    <font>
      <sz val="1"/>
      <color indexed="9"/>
      <name val="Arial CE"/>
      <family val="2"/>
      <charset val="238"/>
    </font>
    <font>
      <b/>
      <sz val="1"/>
      <color indexed="9"/>
      <name val="Arial CE"/>
      <family val="2"/>
      <charset val="238"/>
    </font>
    <font>
      <sz val="8"/>
      <color indexed="10"/>
      <name val="Arial CE"/>
      <family val="2"/>
      <charset val="238"/>
    </font>
    <font>
      <b/>
      <sz val="10"/>
      <color indexed="47"/>
      <name val="Wingdings"/>
      <charset val="2"/>
    </font>
    <font>
      <sz val="10"/>
      <name val="Arial CE"/>
      <charset val="238"/>
    </font>
    <font>
      <sz val="14"/>
      <name val="Arial CE"/>
      <charset val="238"/>
    </font>
    <font>
      <b/>
      <sz val="1"/>
      <name val="Arial CE"/>
      <charset val="238"/>
    </font>
    <font>
      <b/>
      <sz val="8"/>
      <color indexed="50"/>
      <name val="Arial CE"/>
      <charset val="238"/>
    </font>
    <font>
      <b/>
      <sz val="8"/>
      <color indexed="62"/>
      <name val="Arial CE"/>
      <charset val="238"/>
    </font>
    <font>
      <sz val="14"/>
      <color rgb="FF00B0F0"/>
      <name val="Arial CE"/>
      <charset val="238"/>
    </font>
    <font>
      <b/>
      <sz val="14"/>
      <color rgb="FF00B0F0"/>
      <name val="Arial CE"/>
      <charset val="238"/>
    </font>
    <font>
      <b/>
      <sz val="10"/>
      <color rgb="FF00B0F0"/>
      <name val="Arial CE"/>
      <charset val="238"/>
    </font>
    <font>
      <sz val="10"/>
      <color rgb="FF00B0F0"/>
      <name val="Arial CE"/>
      <charset val="238"/>
    </font>
    <font>
      <sz val="8"/>
      <color rgb="FF00B0F0"/>
      <name val="Arial CE"/>
      <charset val="238"/>
    </font>
    <font>
      <sz val="10"/>
      <color theme="0"/>
      <name val="Arial CE"/>
      <family val="2"/>
      <charset val="238"/>
    </font>
    <font>
      <sz val="8"/>
      <color theme="0"/>
      <name val="Arial CE"/>
      <family val="2"/>
      <charset val="238"/>
    </font>
    <font>
      <sz val="14"/>
      <color theme="0"/>
      <name val="Arial CE"/>
      <family val="2"/>
      <charset val="238"/>
    </font>
    <font>
      <b/>
      <sz val="10"/>
      <color theme="0"/>
      <name val="Arial CE"/>
      <family val="2"/>
      <charset val="238"/>
    </font>
    <font>
      <sz val="8"/>
      <color rgb="FF00B0F0"/>
      <name val="Arial CE"/>
      <family val="2"/>
      <charset val="238"/>
    </font>
    <font>
      <sz val="8"/>
      <color indexed="10"/>
      <name val="Arial CE"/>
      <charset val="238"/>
    </font>
    <font>
      <b/>
      <sz val="10"/>
      <color indexed="10"/>
      <name val="Arial CE"/>
      <family val="2"/>
      <charset val="238"/>
    </font>
    <font>
      <b/>
      <sz val="8"/>
      <color indexed="10"/>
      <name val="Arial CE"/>
      <charset val="238"/>
    </font>
    <font>
      <b/>
      <sz val="8"/>
      <color rgb="FF00B0F0"/>
      <name val="Arial CE"/>
      <charset val="238"/>
    </font>
    <font>
      <b/>
      <sz val="8"/>
      <color theme="0"/>
      <name val="Arial CE"/>
      <family val="2"/>
      <charset val="238"/>
    </font>
    <font>
      <sz val="8"/>
      <color rgb="FF000000"/>
      <name val="Tahoma"/>
      <family val="2"/>
      <charset val="238"/>
    </font>
    <font>
      <b/>
      <sz val="10"/>
      <color indexed="50"/>
      <name val="Arial CE"/>
      <charset val="238"/>
    </font>
  </fonts>
  <fills count="5">
    <fill>
      <patternFill patternType="none"/>
    </fill>
    <fill>
      <patternFill patternType="gray125"/>
    </fill>
    <fill>
      <gradientFill degree="90">
        <stop position="0">
          <color rgb="FFEAF2FB"/>
        </stop>
        <stop position="1">
          <color rgb="FFC0D8F0"/>
        </stop>
      </gradientFill>
    </fill>
    <fill>
      <gradientFill degree="90">
        <stop position="0">
          <color rgb="FFFFFF99"/>
        </stop>
        <stop position="1">
          <color rgb="FFFFCC00"/>
        </stop>
      </gradientFill>
    </fill>
    <fill>
      <gradientFill degree="90">
        <stop position="0">
          <color theme="9" tint="0.80001220740379042"/>
        </stop>
        <stop position="1">
          <color theme="9" tint="0.40000610370189521"/>
        </stop>
      </gradientFill>
    </fill>
  </fills>
  <borders count="18">
    <border>
      <left/>
      <right/>
      <top/>
      <bottom/>
      <diagonal/>
    </border>
    <border>
      <left style="thin">
        <color rgb="FFABC1DE"/>
      </left>
      <right/>
      <top style="thin">
        <color rgb="FFABC1DE"/>
      </top>
      <bottom style="thin">
        <color rgb="FFABC1DE"/>
      </bottom>
      <diagonal/>
    </border>
    <border>
      <left/>
      <right/>
      <top style="thin">
        <color rgb="FFABC1DE"/>
      </top>
      <bottom style="thin">
        <color rgb="FFABC1DE"/>
      </bottom>
      <diagonal/>
    </border>
    <border>
      <left/>
      <right style="thin">
        <color rgb="FFABC1DE"/>
      </right>
      <top style="thin">
        <color rgb="FFABC1DE"/>
      </top>
      <bottom style="thin">
        <color rgb="FFABC1DE"/>
      </bottom>
      <diagonal/>
    </border>
    <border>
      <left/>
      <right/>
      <top/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rgb="FFABC1DE"/>
      </left>
      <right style="thin">
        <color rgb="FFABC1DE"/>
      </right>
      <top style="thin">
        <color rgb="FFABC1DE"/>
      </top>
      <bottom style="thin">
        <color rgb="FFABC1DE"/>
      </bottom>
      <diagonal/>
    </border>
    <border>
      <left/>
      <right/>
      <top/>
      <bottom style="thick">
        <color theme="7" tint="0.39994506668294322"/>
      </bottom>
      <diagonal/>
    </border>
    <border>
      <left/>
      <right style="thick">
        <color theme="7" tint="0.39991454817346722"/>
      </right>
      <top style="thick">
        <color theme="7" tint="0.39994506668294322"/>
      </top>
      <bottom/>
      <diagonal/>
    </border>
    <border>
      <left/>
      <right style="thick">
        <color theme="7" tint="0.39991454817346722"/>
      </right>
      <top/>
      <bottom/>
      <diagonal/>
    </border>
    <border>
      <left/>
      <right style="thick">
        <color theme="7" tint="0.39991454817346722"/>
      </right>
      <top/>
      <bottom style="thick">
        <color theme="7" tint="0.39994506668294322"/>
      </bottom>
      <diagonal/>
    </border>
    <border>
      <left/>
      <right/>
      <top style="thick">
        <color theme="7" tint="0.39994506668294322"/>
      </top>
      <bottom/>
      <diagonal/>
    </border>
    <border>
      <left style="thick">
        <color theme="7" tint="0.39991454817346722"/>
      </left>
      <right/>
      <top style="thick">
        <color theme="7" tint="0.39994506668294322"/>
      </top>
      <bottom/>
      <diagonal/>
    </border>
    <border>
      <left style="thick">
        <color theme="7" tint="0.39991454817346722"/>
      </left>
      <right/>
      <top/>
      <bottom/>
      <diagonal/>
    </border>
    <border>
      <left style="thick">
        <color theme="7" tint="0.39991454817346722"/>
      </left>
      <right/>
      <top/>
      <bottom style="thick">
        <color theme="7" tint="0.39994506668294322"/>
      </bottom>
      <diagonal/>
    </border>
    <border>
      <left style="thick">
        <color theme="7" tint="0.39991454817346722"/>
      </left>
      <right/>
      <top style="thick">
        <color theme="7" tint="0.39988402966399123"/>
      </top>
      <bottom/>
      <diagonal/>
    </border>
    <border>
      <left/>
      <right/>
      <top style="thick">
        <color theme="7" tint="0.39988402966399123"/>
      </top>
      <bottom/>
      <diagonal/>
    </border>
    <border>
      <left/>
      <right style="thick">
        <color theme="7" tint="0.39991454817346722"/>
      </right>
      <top style="thick">
        <color theme="7" tint="0.39988402966399123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/>
    <xf numFmtId="9" fontId="0" fillId="0" borderId="0" xfId="0" applyNumberFormat="1"/>
    <xf numFmtId="0" fontId="0" fillId="0" borderId="0" xfId="0" applyFill="1" applyBorder="1"/>
    <xf numFmtId="0" fontId="10" fillId="0" borderId="0" xfId="0" applyFon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left"/>
    </xf>
    <xf numFmtId="9" fontId="5" fillId="0" borderId="0" xfId="1" applyFont="1" applyFill="1" applyBorder="1" applyAlignment="1">
      <alignment horizontal="center"/>
    </xf>
    <xf numFmtId="0" fontId="5" fillId="0" borderId="0" xfId="0" applyFont="1" applyFill="1" applyBorder="1"/>
    <xf numFmtId="9" fontId="4" fillId="0" borderId="0" xfId="1" applyFont="1" applyFill="1" applyBorder="1" applyAlignment="1">
      <alignment horizontal="center"/>
    </xf>
    <xf numFmtId="9" fontId="6" fillId="0" borderId="0" xfId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9" fontId="5" fillId="0" borderId="0" xfId="1" applyFont="1" applyFill="1" applyBorder="1" applyAlignment="1">
      <alignment horizontal="left"/>
    </xf>
    <xf numFmtId="0" fontId="14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14" fillId="0" borderId="0" xfId="0" applyFont="1" applyFill="1" applyBorder="1" applyAlignment="1">
      <alignment horizontal="right"/>
    </xf>
    <xf numFmtId="0" fontId="14" fillId="0" borderId="0" xfId="0" applyFont="1" applyFill="1" applyBorder="1"/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7" fillId="0" borderId="0" xfId="0" applyFont="1" applyFill="1" applyBorder="1"/>
    <xf numFmtId="4" fontId="18" fillId="0" borderId="0" xfId="0" applyNumberFormat="1" applyFont="1" applyFill="1" applyBorder="1"/>
    <xf numFmtId="4" fontId="8" fillId="0" borderId="0" xfId="0" applyNumberFormat="1" applyFont="1" applyFill="1" applyBorder="1"/>
    <xf numFmtId="0" fontId="12" fillId="0" borderId="0" xfId="0" applyFont="1" applyFill="1" applyBorder="1" applyAlignment="1">
      <alignment horizontal="right"/>
    </xf>
    <xf numFmtId="0" fontId="0" fillId="0" borderId="0" xfId="0" applyBorder="1"/>
    <xf numFmtId="0" fontId="19" fillId="0" borderId="0" xfId="0" applyFont="1" applyFill="1" applyBorder="1"/>
    <xf numFmtId="0" fontId="22" fillId="0" borderId="0" xfId="0" applyFont="1" applyFill="1" applyBorder="1" applyAlignment="1">
      <alignment horizontal="center"/>
    </xf>
    <xf numFmtId="0" fontId="22" fillId="0" borderId="0" xfId="0" applyFont="1" applyFill="1" applyBorder="1"/>
    <xf numFmtId="0" fontId="23" fillId="0" borderId="0" xfId="0" applyFont="1" applyFill="1" applyBorder="1" applyAlignment="1">
      <alignment horizontal="center"/>
    </xf>
    <xf numFmtId="0" fontId="24" fillId="0" borderId="0" xfId="0" applyFont="1" applyFill="1" applyBorder="1"/>
    <xf numFmtId="0" fontId="0" fillId="0" borderId="0" xfId="0" applyFill="1"/>
    <xf numFmtId="0" fontId="0" fillId="0" borderId="0" xfId="0" applyFill="1" applyAlignment="1">
      <alignment horizontal="center"/>
    </xf>
    <xf numFmtId="0" fontId="25" fillId="0" borderId="0" xfId="0" applyFont="1" applyFill="1" applyBorder="1" applyAlignment="1">
      <alignment horizontal="center"/>
    </xf>
    <xf numFmtId="49" fontId="10" fillId="0" borderId="0" xfId="0" applyNumberFormat="1" applyFont="1" applyFill="1" applyBorder="1" applyAlignment="1">
      <alignment vertical="center"/>
    </xf>
    <xf numFmtId="0" fontId="26" fillId="0" borderId="0" xfId="0" applyFont="1" applyAlignment="1">
      <alignment horizontal="center"/>
    </xf>
    <xf numFmtId="0" fontId="16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14" fontId="11" fillId="0" borderId="0" xfId="0" applyNumberFormat="1" applyFont="1" applyFill="1" applyBorder="1" applyAlignment="1">
      <alignment horizontal="right"/>
    </xf>
    <xf numFmtId="0" fontId="16" fillId="0" borderId="0" xfId="0" applyFont="1" applyFill="1" applyBorder="1" applyAlignment="1">
      <alignment horizontal="right"/>
    </xf>
    <xf numFmtId="1" fontId="9" fillId="2" borderId="1" xfId="0" applyNumberFormat="1" applyFont="1" applyFill="1" applyBorder="1" applyAlignment="1">
      <alignment horizontal="left" vertical="center"/>
    </xf>
    <xf numFmtId="1" fontId="9" fillId="2" borderId="2" xfId="0" applyNumberFormat="1" applyFont="1" applyFill="1" applyBorder="1" applyAlignment="1">
      <alignment horizontal="left" vertical="center"/>
    </xf>
    <xf numFmtId="1" fontId="9" fillId="2" borderId="3" xfId="0" applyNumberFormat="1" applyFont="1" applyFill="1" applyBorder="1" applyAlignment="1">
      <alignment horizontal="left" vertical="center"/>
    </xf>
    <xf numFmtId="1" fontId="28" fillId="2" borderId="2" xfId="0" applyNumberFormat="1" applyFont="1" applyFill="1" applyBorder="1" applyAlignment="1">
      <alignment horizontal="left" vertical="center"/>
    </xf>
    <xf numFmtId="1" fontId="9" fillId="2" borderId="2" xfId="0" applyNumberFormat="1" applyFont="1" applyFill="1" applyBorder="1" applyAlignment="1">
      <alignment horizontal="center" vertical="center"/>
    </xf>
    <xf numFmtId="1" fontId="9" fillId="2" borderId="3" xfId="0" applyNumberFormat="1" applyFont="1" applyFill="1" applyBorder="1" applyAlignment="1">
      <alignment horizontal="center" vertical="center"/>
    </xf>
    <xf numFmtId="1" fontId="16" fillId="2" borderId="2" xfId="0" applyNumberFormat="1" applyFont="1" applyFill="1" applyBorder="1" applyAlignment="1">
      <alignment horizontal="center" vertical="center"/>
    </xf>
    <xf numFmtId="1" fontId="32" fillId="2" borderId="2" xfId="0" applyNumberFormat="1" applyFont="1" applyFill="1" applyBorder="1" applyAlignment="1">
      <alignment horizontal="left" vertical="center"/>
    </xf>
    <xf numFmtId="0" fontId="0" fillId="0" borderId="4" xfId="0" applyFill="1" applyBorder="1"/>
    <xf numFmtId="4" fontId="18" fillId="0" borderId="4" xfId="0" applyNumberFormat="1" applyFont="1" applyFill="1" applyBorder="1"/>
    <xf numFmtId="0" fontId="4" fillId="0" borderId="4" xfId="0" applyFont="1" applyFill="1" applyBorder="1"/>
    <xf numFmtId="4" fontId="8" fillId="0" borderId="4" xfId="0" applyNumberFormat="1" applyFont="1" applyFill="1" applyBorder="1" applyAlignment="1"/>
    <xf numFmtId="0" fontId="6" fillId="0" borderId="4" xfId="0" applyFont="1" applyFill="1" applyBorder="1"/>
    <xf numFmtId="0" fontId="22" fillId="0" borderId="4" xfId="0" applyFont="1" applyFill="1" applyBorder="1"/>
    <xf numFmtId="165" fontId="4" fillId="0" borderId="5" xfId="0" applyNumberFormat="1" applyFont="1" applyFill="1" applyBorder="1" applyAlignment="1">
      <alignment horizontal="center"/>
    </xf>
    <xf numFmtId="164" fontId="4" fillId="0" borderId="5" xfId="0" applyNumberFormat="1" applyFont="1" applyFill="1" applyBorder="1" applyAlignment="1">
      <alignment horizontal="center"/>
    </xf>
    <xf numFmtId="1" fontId="20" fillId="3" borderId="6" xfId="0" applyNumberFormat="1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/>
    <xf numFmtId="0" fontId="26" fillId="0" borderId="9" xfId="0" applyFont="1" applyFill="1" applyBorder="1"/>
    <xf numFmtId="0" fontId="22" fillId="0" borderId="9" xfId="0" applyFont="1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13" xfId="0" applyFill="1" applyBorder="1"/>
    <xf numFmtId="0" fontId="13" fillId="0" borderId="13" xfId="0" applyFont="1" applyFill="1" applyBorder="1"/>
    <xf numFmtId="0" fontId="0" fillId="0" borderId="14" xfId="0" applyFill="1" applyBorder="1"/>
    <xf numFmtId="0" fontId="28" fillId="0" borderId="0" xfId="0" applyFont="1" applyFill="1" applyBorder="1" applyAlignment="1">
      <alignment horizontal="center"/>
    </xf>
    <xf numFmtId="0" fontId="28" fillId="0" borderId="0" xfId="0" applyFont="1" applyFill="1" applyBorder="1"/>
    <xf numFmtId="0" fontId="0" fillId="0" borderId="0" xfId="0" applyFont="1" applyFill="1" applyBorder="1"/>
    <xf numFmtId="1" fontId="33" fillId="2" borderId="3" xfId="0" applyNumberFormat="1" applyFont="1" applyFill="1" applyBorder="1" applyAlignment="1">
      <alignment horizontal="center" vertical="center"/>
    </xf>
    <xf numFmtId="4" fontId="34" fillId="0" borderId="4" xfId="0" applyNumberFormat="1" applyFont="1" applyFill="1" applyBorder="1"/>
    <xf numFmtId="4" fontId="34" fillId="0" borderId="0" xfId="0" applyNumberFormat="1" applyFont="1" applyFill="1" applyBorder="1"/>
    <xf numFmtId="0" fontId="35" fillId="0" borderId="0" xfId="0" applyFont="1" applyFill="1" applyBorder="1"/>
    <xf numFmtId="1" fontId="16" fillId="2" borderId="2" xfId="0" applyNumberFormat="1" applyFont="1" applyFill="1" applyBorder="1" applyAlignment="1">
      <alignment horizontal="left" vertical="center"/>
    </xf>
    <xf numFmtId="4" fontId="36" fillId="0" borderId="5" xfId="0" applyNumberFormat="1" applyFont="1" applyFill="1" applyBorder="1"/>
    <xf numFmtId="0" fontId="27" fillId="0" borderId="0" xfId="0" applyFont="1" applyFill="1" applyBorder="1"/>
    <xf numFmtId="166" fontId="12" fillId="0" borderId="0" xfId="0" applyNumberFormat="1" applyFont="1" applyFill="1" applyBorder="1" applyAlignment="1">
      <alignment horizontal="center"/>
    </xf>
    <xf numFmtId="4" fontId="35" fillId="0" borderId="4" xfId="0" applyNumberFormat="1" applyFont="1" applyFill="1" applyBorder="1"/>
    <xf numFmtId="0" fontId="27" fillId="0" borderId="0" xfId="0" applyFont="1" applyFill="1" applyBorder="1" applyAlignment="1">
      <alignment horizontal="right" vertical="center"/>
    </xf>
    <xf numFmtId="0" fontId="27" fillId="0" borderId="0" xfId="0" applyFont="1" applyFill="1" applyBorder="1" applyAlignment="1">
      <alignment horizontal="center"/>
    </xf>
    <xf numFmtId="0" fontId="0" fillId="0" borderId="13" xfId="0" applyFont="1" applyFill="1" applyBorder="1"/>
    <xf numFmtId="0" fontId="0" fillId="0" borderId="9" xfId="0" applyFont="1" applyFill="1" applyBorder="1"/>
    <xf numFmtId="0" fontId="29" fillId="0" borderId="0" xfId="0" applyFont="1" applyFill="1" applyBorder="1" applyAlignment="1">
      <alignment horizontal="right"/>
    </xf>
    <xf numFmtId="166" fontId="29" fillId="0" borderId="0" xfId="0" applyNumberFormat="1" applyFont="1" applyFill="1" applyBorder="1" applyAlignment="1">
      <alignment horizontal="center"/>
    </xf>
    <xf numFmtId="0" fontId="29" fillId="0" borderId="0" xfId="0" applyFont="1" applyFill="1" applyBorder="1"/>
    <xf numFmtId="4" fontId="29" fillId="0" borderId="0" xfId="0" applyNumberFormat="1" applyFont="1" applyFill="1" applyBorder="1"/>
    <xf numFmtId="9" fontId="29" fillId="0" borderId="0" xfId="1" applyFont="1" applyFill="1" applyBorder="1" applyAlignment="1">
      <alignment horizontal="center"/>
    </xf>
    <xf numFmtId="0" fontId="0" fillId="0" borderId="4" xfId="0" applyFont="1" applyFill="1" applyBorder="1"/>
    <xf numFmtId="0" fontId="29" fillId="0" borderId="4" xfId="0" applyFont="1" applyFill="1" applyBorder="1" applyAlignment="1">
      <alignment horizontal="right"/>
    </xf>
    <xf numFmtId="4" fontId="20" fillId="0" borderId="4" xfId="0" applyNumberFormat="1" applyFont="1" applyFill="1" applyBorder="1"/>
    <xf numFmtId="166" fontId="21" fillId="0" borderId="0" xfId="0" applyNumberFormat="1" applyFont="1" applyFill="1" applyBorder="1" applyAlignment="1">
      <alignment horizontal="left" vertical="center"/>
    </xf>
    <xf numFmtId="9" fontId="5" fillId="0" borderId="0" xfId="1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9" fontId="6" fillId="0" borderId="0" xfId="1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4" xfId="0" applyFont="1" applyFill="1" applyBorder="1"/>
    <xf numFmtId="0" fontId="37" fillId="0" borderId="0" xfId="0" applyFont="1" applyFill="1" applyBorder="1" applyAlignment="1">
      <alignment horizontal="center"/>
    </xf>
    <xf numFmtId="0" fontId="37" fillId="0" borderId="0" xfId="0" applyFont="1"/>
    <xf numFmtId="0" fontId="37" fillId="0" borderId="0" xfId="0" applyFont="1" applyFill="1" applyBorder="1"/>
    <xf numFmtId="9" fontId="38" fillId="0" borderId="0" xfId="1" applyFont="1" applyFill="1" applyBorder="1" applyAlignment="1">
      <alignment horizontal="center"/>
    </xf>
    <xf numFmtId="0" fontId="38" fillId="0" borderId="0" xfId="0" applyFont="1" applyFill="1" applyBorder="1" applyAlignment="1">
      <alignment horizontal="center"/>
    </xf>
    <xf numFmtId="0" fontId="38" fillId="0" borderId="0" xfId="0" applyFont="1"/>
    <xf numFmtId="0" fontId="38" fillId="0" borderId="4" xfId="0" applyFont="1" applyFill="1" applyBorder="1" applyAlignment="1">
      <alignment horizontal="center"/>
    </xf>
    <xf numFmtId="0" fontId="38" fillId="0" borderId="0" xfId="0" applyFont="1" applyFill="1" applyBorder="1"/>
    <xf numFmtId="2" fontId="38" fillId="0" borderId="0" xfId="0" applyNumberFormat="1" applyFont="1" applyFill="1" applyBorder="1" applyAlignment="1">
      <alignment horizontal="right"/>
    </xf>
    <xf numFmtId="2" fontId="38" fillId="0" borderId="4" xfId="0" applyNumberFormat="1" applyFont="1" applyFill="1" applyBorder="1" applyAlignment="1">
      <alignment horizontal="right"/>
    </xf>
    <xf numFmtId="2" fontId="38" fillId="0" borderId="0" xfId="0" applyNumberFormat="1" applyFont="1" applyAlignment="1">
      <alignment horizontal="right"/>
    </xf>
    <xf numFmtId="0" fontId="38" fillId="0" borderId="4" xfId="0" applyFont="1" applyFill="1" applyBorder="1"/>
    <xf numFmtId="0" fontId="37" fillId="0" borderId="4" xfId="0" applyFont="1" applyFill="1" applyBorder="1"/>
    <xf numFmtId="0" fontId="39" fillId="0" borderId="0" xfId="0" applyFont="1" applyFill="1" applyBorder="1"/>
    <xf numFmtId="1" fontId="38" fillId="2" borderId="2" xfId="0" applyNumberFormat="1" applyFont="1" applyFill="1" applyBorder="1" applyAlignment="1">
      <alignment horizontal="left" vertical="center"/>
    </xf>
    <xf numFmtId="0" fontId="40" fillId="0" borderId="0" xfId="0" applyFont="1" applyFill="1" applyBorder="1" applyAlignment="1">
      <alignment horizontal="center"/>
    </xf>
    <xf numFmtId="0" fontId="38" fillId="0" borderId="0" xfId="0" applyFont="1" applyFill="1" applyBorder="1" applyAlignment="1">
      <alignment horizontal="right"/>
    </xf>
    <xf numFmtId="0" fontId="38" fillId="0" borderId="4" xfId="0" applyFont="1" applyFill="1" applyBorder="1" applyAlignment="1">
      <alignment horizontal="right"/>
    </xf>
    <xf numFmtId="0" fontId="0" fillId="0" borderId="9" xfId="0" applyFill="1" applyBorder="1" applyAlignment="1">
      <alignment horizontal="center"/>
    </xf>
    <xf numFmtId="0" fontId="26" fillId="0" borderId="9" xfId="0" applyFont="1" applyFill="1" applyBorder="1" applyAlignment="1">
      <alignment horizontal="center"/>
    </xf>
    <xf numFmtId="166" fontId="5" fillId="0" borderId="0" xfId="1" applyNumberFormat="1" applyFont="1" applyFill="1" applyBorder="1" applyAlignment="1">
      <alignment horizontal="right"/>
    </xf>
    <xf numFmtId="2" fontId="38" fillId="0" borderId="0" xfId="0" applyNumberFormat="1" applyFont="1" applyFill="1" applyAlignment="1">
      <alignment horizontal="right"/>
    </xf>
    <xf numFmtId="0" fontId="0" fillId="0" borderId="15" xfId="0" applyFill="1" applyBorder="1"/>
    <xf numFmtId="0" fontId="26" fillId="0" borderId="16" xfId="0" applyFont="1" applyBorder="1" applyAlignment="1">
      <alignment horizontal="center"/>
    </xf>
    <xf numFmtId="49" fontId="10" fillId="0" borderId="16" xfId="0" applyNumberFormat="1" applyFont="1" applyFill="1" applyBorder="1" applyAlignment="1">
      <alignment vertical="center"/>
    </xf>
    <xf numFmtId="0" fontId="0" fillId="0" borderId="16" xfId="0" applyFill="1" applyBorder="1"/>
    <xf numFmtId="0" fontId="0" fillId="0" borderId="17" xfId="0" applyFill="1" applyBorder="1"/>
    <xf numFmtId="14" fontId="41" fillId="0" borderId="0" xfId="0" applyNumberFormat="1" applyFont="1" applyFill="1" applyBorder="1" applyAlignment="1">
      <alignment horizontal="center"/>
    </xf>
    <xf numFmtId="4" fontId="42" fillId="4" borderId="5" xfId="0" applyNumberFormat="1" applyFont="1" applyFill="1" applyBorder="1"/>
    <xf numFmtId="4" fontId="35" fillId="0" borderId="0" xfId="0" applyNumberFormat="1" applyFont="1" applyFill="1" applyBorder="1"/>
    <xf numFmtId="4" fontId="43" fillId="4" borderId="0" xfId="0" applyNumberFormat="1" applyFont="1" applyFill="1" applyBorder="1"/>
    <xf numFmtId="167" fontId="38" fillId="0" borderId="0" xfId="1" applyNumberFormat="1" applyFont="1" applyFill="1" applyBorder="1" applyAlignment="1">
      <alignment horizontal="center"/>
    </xf>
    <xf numFmtId="166" fontId="38" fillId="0" borderId="0" xfId="1" applyNumberFormat="1" applyFont="1" applyFill="1" applyBorder="1" applyAlignment="1">
      <alignment horizontal="right"/>
    </xf>
    <xf numFmtId="4" fontId="45" fillId="0" borderId="5" xfId="0" applyNumberFormat="1" applyFont="1" applyFill="1" applyBorder="1"/>
    <xf numFmtId="4" fontId="44" fillId="4" borderId="5" xfId="0" applyNumberFormat="1" applyFont="1" applyFill="1" applyBorder="1"/>
    <xf numFmtId="10" fontId="5" fillId="0" borderId="0" xfId="1" applyNumberFormat="1" applyFont="1" applyFill="1" applyBorder="1" applyAlignment="1">
      <alignment horizontal="center"/>
    </xf>
    <xf numFmtId="10" fontId="38" fillId="0" borderId="0" xfId="1" applyNumberFormat="1" applyFont="1" applyFill="1" applyBorder="1" applyAlignment="1">
      <alignment horizontal="center"/>
    </xf>
    <xf numFmtId="10" fontId="1" fillId="0" borderId="0" xfId="1" applyNumberFormat="1" applyFont="1" applyFill="1" applyBorder="1" applyAlignment="1">
      <alignment horizontal="center"/>
    </xf>
    <xf numFmtId="10" fontId="20" fillId="0" borderId="0" xfId="1" applyNumberFormat="1" applyFont="1" applyFill="1" applyBorder="1" applyAlignment="1">
      <alignment horizontal="center"/>
    </xf>
    <xf numFmtId="10" fontId="1" fillId="0" borderId="4" xfId="1" applyNumberFormat="1" applyFont="1" applyFill="1" applyBorder="1" applyAlignment="1">
      <alignment horizontal="center"/>
    </xf>
    <xf numFmtId="10" fontId="20" fillId="0" borderId="4" xfId="1" applyNumberFormat="1" applyFont="1" applyFill="1" applyBorder="1" applyAlignment="1">
      <alignment horizontal="center"/>
    </xf>
    <xf numFmtId="4" fontId="42" fillId="0" borderId="5" xfId="0" applyNumberFormat="1" applyFont="1" applyFill="1" applyBorder="1"/>
    <xf numFmtId="4" fontId="44" fillId="0" borderId="5" xfId="0" applyNumberFormat="1" applyFont="1" applyFill="1" applyBorder="1"/>
    <xf numFmtId="4" fontId="38" fillId="0" borderId="5" xfId="0" applyNumberFormat="1" applyFont="1" applyFill="1" applyBorder="1"/>
    <xf numFmtId="4" fontId="46" fillId="0" borderId="5" xfId="0" applyNumberFormat="1" applyFont="1" applyFill="1" applyBorder="1"/>
    <xf numFmtId="166" fontId="48" fillId="0" borderId="0" xfId="0" applyNumberFormat="1" applyFont="1" applyFill="1" applyBorder="1" applyAlignment="1">
      <alignment horizontal="center" vertical="center"/>
    </xf>
    <xf numFmtId="9" fontId="10" fillId="0" borderId="0" xfId="1" applyFont="1" applyFill="1" applyBorder="1" applyAlignment="1">
      <alignment horizontal="left" vertical="center"/>
    </xf>
    <xf numFmtId="49" fontId="10" fillId="0" borderId="0" xfId="0" applyNumberFormat="1" applyFont="1" applyFill="1" applyBorder="1" applyAlignment="1">
      <alignment horizontal="right" vertical="center"/>
    </xf>
    <xf numFmtId="9" fontId="10" fillId="0" borderId="0" xfId="1" applyFont="1" applyFill="1" applyBorder="1" applyAlignment="1">
      <alignment horizontal="righ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23"/>
  <c:chart>
    <c:plotArea>
      <c:layout>
        <c:manualLayout>
          <c:layoutTarget val="inner"/>
          <c:xMode val="edge"/>
          <c:yMode val="edge"/>
          <c:x val="0.10429479095209342"/>
          <c:y val="0.20588235294117646"/>
          <c:w val="0.24539950812256794"/>
          <c:h val="0.5882352941176382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21402557532252223"/>
                  <c:y val="-0.1113599931408566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pl-PL"/>
                </a:p>
              </c:txPr>
              <c:dLblPos val="bestFit"/>
              <c:showVal val="1"/>
            </c:dLbl>
            <c:delete val="1"/>
          </c:dLbls>
          <c:val>
            <c:numRef>
              <c:f>Kalkulator!$H$44:$I$44</c:f>
              <c:numCache>
                <c:formatCode>0%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</c:chart>
  <c:spPr>
    <a:noFill/>
    <a:ln>
      <a:noFill/>
    </a:ln>
  </c:spPr>
  <c:printSettings>
    <c:headerFooter alignWithMargins="0"/>
    <c:pageMargins b="1" l="0.75000000000000799" r="0.75000000000000799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23"/>
  <c:chart>
    <c:plotArea>
      <c:layout>
        <c:manualLayout>
          <c:layoutTarget val="inner"/>
          <c:xMode val="edge"/>
          <c:yMode val="edge"/>
          <c:x val="0.10975609756097562"/>
          <c:y val="0.20588235294117646"/>
          <c:w val="0.24390243902439504"/>
          <c:h val="0.5882352941176382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22083251154558417"/>
                  <c:y val="0.11005890961862348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pl-PL"/>
                </a:p>
              </c:txPr>
              <c:dLblPos val="bestFit"/>
              <c:showVal val="1"/>
            </c:dLbl>
            <c:delete val="1"/>
          </c:dLbls>
          <c:val>
            <c:numRef>
              <c:f>Kalkulator!$H$45:$I$45</c:f>
              <c:numCache>
                <c:formatCode>0%</c:formatCode>
                <c:ptCount val="2"/>
                <c:pt idx="0">
                  <c:v>1.0009999999999999</c:v>
                </c:pt>
                <c:pt idx="1">
                  <c:v>-9.9999999999988987E-4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</c:chart>
  <c:spPr>
    <a:noFill/>
    <a:ln>
      <a:noFill/>
    </a:ln>
  </c:spPr>
  <c:printSettings>
    <c:headerFooter alignWithMargins="0"/>
    <c:pageMargins b="1" l="0.75000000000000799" r="0.75000000000000799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23"/>
  <c:chart>
    <c:plotArea>
      <c:layout>
        <c:manualLayout>
          <c:layoutTarget val="inner"/>
          <c:xMode val="edge"/>
          <c:yMode val="edge"/>
          <c:x val="0.10429479095209347"/>
          <c:y val="0.20588235294117646"/>
          <c:w val="0.24539950812256794"/>
          <c:h val="0.58823529411763797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21402557532252223"/>
                  <c:y val="-0.11135999314085655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pl-PL"/>
                </a:p>
              </c:txPr>
              <c:dLblPos val="bestFit"/>
              <c:showVal val="1"/>
            </c:dLbl>
            <c:delete val="1"/>
          </c:dLbls>
          <c:val>
            <c:numRef>
              <c:f>Kalkulator!$H$28:$I$28</c:f>
              <c:numCache>
                <c:formatCode>0%</c:formatCode>
                <c:ptCount val="2"/>
                <c:pt idx="0">
                  <c:v>0.65323818488728524</c:v>
                </c:pt>
                <c:pt idx="1">
                  <c:v>0.34676181511271476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</c:chart>
  <c:spPr>
    <a:noFill/>
    <a:ln>
      <a:noFill/>
    </a:ln>
  </c:spPr>
  <c:printSettings>
    <c:headerFooter alignWithMargins="0"/>
    <c:pageMargins b="1" l="0.75000000000000822" r="0.75000000000000822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l-PL"/>
  <c:style val="23"/>
  <c:chart>
    <c:plotArea>
      <c:layout>
        <c:manualLayout>
          <c:layoutTarget val="inner"/>
          <c:xMode val="edge"/>
          <c:yMode val="edge"/>
          <c:x val="0.10975609756097562"/>
          <c:y val="0.20588235294117646"/>
          <c:w val="0.24390243902439518"/>
          <c:h val="0.58823529411763797"/>
        </c:manualLayout>
      </c:layout>
      <c:pieChart>
        <c:varyColors val="1"/>
        <c:ser>
          <c:idx val="0"/>
          <c:order val="0"/>
          <c:dLbls>
            <c:dLbl>
              <c:idx val="0"/>
              <c:layout>
                <c:manualLayout>
                  <c:x val="-0.22083251154558417"/>
                  <c:y val="0.11005890961862348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pl-PL"/>
                </a:p>
              </c:txPr>
              <c:dLblPos val="bestFit"/>
              <c:showVal val="1"/>
            </c:dLbl>
            <c:delete val="1"/>
          </c:dLbls>
          <c:val>
            <c:numRef>
              <c:f>Kalkulator!$H$29:$I$29</c:f>
              <c:numCache>
                <c:formatCode>0%</c:formatCode>
                <c:ptCount val="2"/>
                <c:pt idx="0">
                  <c:v>0.34776181511271476</c:v>
                </c:pt>
                <c:pt idx="1">
                  <c:v>0.65223818488728524</c:v>
                </c:pt>
              </c:numCache>
            </c:numRef>
          </c:val>
        </c:ser>
        <c:dLbls>
          <c:showVal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</c:chart>
  <c:spPr>
    <a:noFill/>
    <a:ln>
      <a:noFill/>
    </a:ln>
  </c:spPr>
  <c:printSettings>
    <c:headerFooter alignWithMargins="0"/>
    <c:pageMargins b="1" l="0.75000000000000822" r="0.75000000000000822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7" Type="http://schemas.openxmlformats.org/officeDocument/2006/relationships/image" Target="../media/image3.jpeg"/><Relationship Id="rId2" Type="http://schemas.openxmlformats.org/officeDocument/2006/relationships/chart" Target="../charts/chart1.xml"/><Relationship Id="rId1" Type="http://schemas.openxmlformats.org/officeDocument/2006/relationships/image" Target="../media/image1.emf"/><Relationship Id="rId6" Type="http://schemas.openxmlformats.org/officeDocument/2006/relationships/image" Target="../media/image2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62968</xdr:colOff>
      <xdr:row>5</xdr:row>
      <xdr:rowOff>19050</xdr:rowOff>
    </xdr:from>
    <xdr:to>
      <xdr:col>9</xdr:col>
      <xdr:colOff>253468</xdr:colOff>
      <xdr:row>7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44543" y="962025"/>
          <a:ext cx="838200" cy="37147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8</xdr:col>
      <xdr:colOff>206917</xdr:colOff>
      <xdr:row>13</xdr:row>
      <xdr:rowOff>116934</xdr:rowOff>
    </xdr:from>
    <xdr:to>
      <xdr:col>9</xdr:col>
      <xdr:colOff>710351</xdr:colOff>
      <xdr:row>14</xdr:row>
      <xdr:rowOff>224758</xdr:rowOff>
    </xdr:to>
    <xdr:pic>
      <xdr:nvPicPr>
        <xdr:cNvPr id="5" name="Obraz 4" descr="Logo MPEC new.png"/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196396" y="2419147"/>
          <a:ext cx="1151944" cy="269951"/>
        </a:xfrm>
        <a:prstGeom prst="roundRect">
          <a:avLst>
            <a:gd name="adj" fmla="val 8594"/>
          </a:avLst>
        </a:prstGeom>
        <a:noFill/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9</xdr:col>
      <xdr:colOff>292245</xdr:colOff>
      <xdr:row>4</xdr:row>
      <xdr:rowOff>139472</xdr:rowOff>
    </xdr:from>
    <xdr:to>
      <xdr:col>9</xdr:col>
      <xdr:colOff>698127</xdr:colOff>
      <xdr:row>6</xdr:row>
      <xdr:rowOff>219414</xdr:rowOff>
    </xdr:to>
    <xdr:pic>
      <xdr:nvPicPr>
        <xdr:cNvPr id="8" name="Obraz 7" descr="mzgokbig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911995" y="921883"/>
          <a:ext cx="405882" cy="406513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49644</xdr:colOff>
      <xdr:row>43</xdr:row>
      <xdr:rowOff>133350</xdr:rowOff>
    </xdr:from>
    <xdr:to>
      <xdr:col>4</xdr:col>
      <xdr:colOff>372775</xdr:colOff>
      <xdr:row>46</xdr:row>
      <xdr:rowOff>19050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55286" y="7429859"/>
          <a:ext cx="837121" cy="370936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>
    <xdr:from>
      <xdr:col>5</xdr:col>
      <xdr:colOff>238125</xdr:colOff>
      <xdr:row>42</xdr:row>
      <xdr:rowOff>152400</xdr:rowOff>
    </xdr:from>
    <xdr:to>
      <xdr:col>7</xdr:col>
      <xdr:colOff>628650</xdr:colOff>
      <xdr:row>46</xdr:row>
      <xdr:rowOff>152400</xdr:rowOff>
    </xdr:to>
    <xdr:graphicFrame macro="">
      <xdr:nvGraphicFramePr>
        <xdr:cNvPr id="3133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238125</xdr:colOff>
      <xdr:row>46</xdr:row>
      <xdr:rowOff>152400</xdr:rowOff>
    </xdr:from>
    <xdr:to>
      <xdr:col>7</xdr:col>
      <xdr:colOff>638175</xdr:colOff>
      <xdr:row>50</xdr:row>
      <xdr:rowOff>152400</xdr:rowOff>
    </xdr:to>
    <xdr:graphicFrame macro="">
      <xdr:nvGraphicFramePr>
        <xdr:cNvPr id="3134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3</xdr:col>
      <xdr:colOff>49643</xdr:colOff>
      <xdr:row>27</xdr:row>
      <xdr:rowOff>138177</xdr:rowOff>
    </xdr:from>
    <xdr:to>
      <xdr:col>4</xdr:col>
      <xdr:colOff>372774</xdr:colOff>
      <xdr:row>30</xdr:row>
      <xdr:rowOff>23877</xdr:rowOff>
    </xdr:to>
    <xdr:pic>
      <xdr:nvPicPr>
        <xdr:cNvPr id="19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55285" y="4778469"/>
          <a:ext cx="837121" cy="370936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>
    <xdr:from>
      <xdr:col>5</xdr:col>
      <xdr:colOff>238125</xdr:colOff>
      <xdr:row>27</xdr:row>
      <xdr:rowOff>0</xdr:rowOff>
    </xdr:from>
    <xdr:to>
      <xdr:col>7</xdr:col>
      <xdr:colOff>628650</xdr:colOff>
      <xdr:row>31</xdr:row>
      <xdr:rowOff>0</xdr:rowOff>
    </xdr:to>
    <xdr:graphicFrame macro="">
      <xdr:nvGraphicFramePr>
        <xdr:cNvPr id="3137" name="Chart 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238125</xdr:colOff>
      <xdr:row>31</xdr:row>
      <xdr:rowOff>0</xdr:rowOff>
    </xdr:from>
    <xdr:to>
      <xdr:col>7</xdr:col>
      <xdr:colOff>638175</xdr:colOff>
      <xdr:row>35</xdr:row>
      <xdr:rowOff>0</xdr:rowOff>
    </xdr:to>
    <xdr:graphicFrame macro="">
      <xdr:nvGraphicFramePr>
        <xdr:cNvPr id="3138" name="Chart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3</xdr:col>
      <xdr:colOff>175104</xdr:colOff>
      <xdr:row>32</xdr:row>
      <xdr:rowOff>13609</xdr:rowOff>
    </xdr:from>
    <xdr:to>
      <xdr:col>5</xdr:col>
      <xdr:colOff>164188</xdr:colOff>
      <xdr:row>33</xdr:row>
      <xdr:rowOff>121433</xdr:rowOff>
    </xdr:to>
    <xdr:pic>
      <xdr:nvPicPr>
        <xdr:cNvPr id="10" name="Obraz 9" descr="Logo MPEC new.png"/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189540" y="5461098"/>
          <a:ext cx="1152350" cy="269952"/>
        </a:xfrm>
        <a:prstGeom prst="roundRect">
          <a:avLst>
            <a:gd name="adj" fmla="val 8594"/>
          </a:avLst>
        </a:prstGeom>
        <a:noFill/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3</xdr:col>
      <xdr:colOff>174287</xdr:colOff>
      <xdr:row>48</xdr:row>
      <xdr:rowOff>14791</xdr:rowOff>
    </xdr:from>
    <xdr:to>
      <xdr:col>5</xdr:col>
      <xdr:colOff>163371</xdr:colOff>
      <xdr:row>49</xdr:row>
      <xdr:rowOff>122615</xdr:rowOff>
    </xdr:to>
    <xdr:pic>
      <xdr:nvPicPr>
        <xdr:cNvPr id="11" name="Obraz 10" descr="Logo MPEC new.png"/>
        <xdr:cNvPicPr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181341" y="8175675"/>
          <a:ext cx="1149093" cy="271110"/>
        </a:xfrm>
        <a:prstGeom prst="roundRect">
          <a:avLst>
            <a:gd name="adj" fmla="val 8594"/>
          </a:avLst>
        </a:prstGeom>
        <a:noFill/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4</xdr:col>
      <xdr:colOff>466739</xdr:colOff>
      <xdr:row>27</xdr:row>
      <xdr:rowOff>125609</xdr:rowOff>
    </xdr:from>
    <xdr:to>
      <xdr:col>5</xdr:col>
      <xdr:colOff>224921</xdr:colOff>
      <xdr:row>30</xdr:row>
      <xdr:rowOff>43424</xdr:rowOff>
    </xdr:to>
    <xdr:pic>
      <xdr:nvPicPr>
        <xdr:cNvPr id="12" name="Obraz 11" descr="mzgokbig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995194" y="4727916"/>
          <a:ext cx="407613" cy="39839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 editAs="oneCell">
    <xdr:from>
      <xdr:col>4</xdr:col>
      <xdr:colOff>467950</xdr:colOff>
      <xdr:row>43</xdr:row>
      <xdr:rowOff>115271</xdr:rowOff>
    </xdr:from>
    <xdr:to>
      <xdr:col>5</xdr:col>
      <xdr:colOff>226132</xdr:colOff>
      <xdr:row>46</xdr:row>
      <xdr:rowOff>33086</xdr:rowOff>
    </xdr:to>
    <xdr:pic>
      <xdr:nvPicPr>
        <xdr:cNvPr id="14" name="Obraz 13" descr="mzgokbig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996405" y="7349941"/>
          <a:ext cx="407613" cy="398395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3/EXCEL/W/2022/Taryfy%20op&#322;at/2022-08-11/20220811_Taryfa_2022_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eny"/>
      <sheetName val="Kalkulator"/>
    </sheetNames>
    <sheetDataSet>
      <sheetData sheetId="0">
        <row r="6">
          <cell r="H6">
            <v>0.05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2"/>
  <dimension ref="A1:N57"/>
  <sheetViews>
    <sheetView showGridLines="0" workbookViewId="0">
      <selection activeCell="D6" sqref="D6"/>
    </sheetView>
  </sheetViews>
  <sheetFormatPr defaultRowHeight="12.75"/>
  <cols>
    <col min="1" max="1" width="4.7109375" customWidth="1"/>
    <col min="2" max="2" width="4.7109375" style="1" customWidth="1"/>
    <col min="3" max="3" width="15.7109375" customWidth="1"/>
    <col min="4" max="4" width="10.7109375" customWidth="1"/>
    <col min="5" max="9" width="9.7109375" customWidth="1"/>
    <col min="10" max="10" width="10.7109375" customWidth="1"/>
    <col min="11" max="11" width="4.7109375" customWidth="1"/>
    <col min="13" max="13" width="10.7109375" customWidth="1"/>
    <col min="14" max="14" width="10.5703125" bestFit="1" customWidth="1"/>
    <col min="15" max="15" width="11.85546875" customWidth="1"/>
  </cols>
  <sheetData>
    <row r="1" spans="1:14" ht="12.75" customHeight="1" thickTop="1">
      <c r="A1" s="133"/>
      <c r="B1" s="134" t="s">
        <v>47</v>
      </c>
      <c r="C1" s="135" t="s">
        <v>51</v>
      </c>
      <c r="D1" s="136"/>
      <c r="E1" s="136"/>
      <c r="F1" s="136"/>
      <c r="G1" s="136"/>
      <c r="H1" s="136"/>
      <c r="I1" s="136"/>
      <c r="J1" s="136"/>
      <c r="K1" s="137"/>
    </row>
    <row r="2" spans="1:14" ht="12.75" customHeight="1">
      <c r="A2" s="76"/>
      <c r="B2" s="4"/>
      <c r="C2" s="4"/>
      <c r="D2" s="4"/>
      <c r="E2" s="4"/>
      <c r="F2" s="4"/>
      <c r="G2" s="4"/>
      <c r="H2" s="4"/>
      <c r="I2" s="5" t="s">
        <v>49</v>
      </c>
      <c r="J2" s="48">
        <v>44782</v>
      </c>
      <c r="K2" s="70"/>
    </row>
    <row r="3" spans="1:14" ht="18" customHeight="1">
      <c r="A3" s="76"/>
      <c r="B3" s="50"/>
      <c r="C3" s="53" t="s">
        <v>38</v>
      </c>
      <c r="D3" s="51"/>
      <c r="E3" s="51"/>
      <c r="F3" s="51"/>
      <c r="G3" s="51"/>
      <c r="H3" s="51"/>
      <c r="I3" s="51"/>
      <c r="J3" s="82">
        <v>2022</v>
      </c>
      <c r="K3" s="70"/>
    </row>
    <row r="4" spans="1:14" ht="18" customHeight="1">
      <c r="A4" s="76"/>
      <c r="B4" s="50"/>
      <c r="C4" s="57" t="s">
        <v>39</v>
      </c>
      <c r="D4" s="51"/>
      <c r="E4" s="51"/>
      <c r="F4" s="51"/>
      <c r="G4" s="51"/>
      <c r="H4" s="51"/>
      <c r="I4" s="51"/>
      <c r="J4" s="52"/>
      <c r="K4" s="70"/>
    </row>
    <row r="5" spans="1:14" ht="12.75" customHeight="1">
      <c r="A5" s="76"/>
      <c r="B5" s="6"/>
      <c r="C5" s="7" t="s">
        <v>50</v>
      </c>
      <c r="D5" s="46" t="s">
        <v>75</v>
      </c>
      <c r="E5" s="46"/>
      <c r="F5" s="46"/>
      <c r="G5" s="46"/>
      <c r="H5" s="46"/>
      <c r="I5" s="46"/>
      <c r="J5" s="49"/>
      <c r="K5" s="70"/>
    </row>
    <row r="6" spans="1:14" ht="12.75" customHeight="1">
      <c r="A6" s="76"/>
      <c r="D6" s="141"/>
      <c r="E6" s="44" t="s">
        <v>51</v>
      </c>
      <c r="G6" s="159" t="s">
        <v>76</v>
      </c>
      <c r="H6" s="157">
        <v>0.05</v>
      </c>
      <c r="I6" s="4"/>
      <c r="J6" s="4"/>
      <c r="K6" s="70"/>
    </row>
    <row r="7" spans="1:14" ht="18" customHeight="1">
      <c r="A7" s="76"/>
      <c r="B7" s="79" t="s">
        <v>17</v>
      </c>
      <c r="C7" s="80" t="s">
        <v>65</v>
      </c>
      <c r="D7" s="45"/>
      <c r="E7" s="158"/>
      <c r="G7" s="81"/>
      <c r="H7" s="81"/>
      <c r="I7" s="81"/>
      <c r="J7" s="81"/>
      <c r="K7" s="70"/>
    </row>
    <row r="8" spans="1:14" ht="12.75" customHeight="1">
      <c r="A8" s="76"/>
      <c r="B8" s="50"/>
      <c r="C8" s="51"/>
      <c r="D8" s="51"/>
      <c r="E8" s="51" t="s">
        <v>2</v>
      </c>
      <c r="F8" s="51"/>
      <c r="G8" s="86" t="s">
        <v>3</v>
      </c>
      <c r="H8" s="51"/>
      <c r="I8" s="51"/>
      <c r="J8" s="52"/>
      <c r="K8" s="70"/>
    </row>
    <row r="9" spans="1:14" ht="12.75" customHeight="1">
      <c r="A9" s="76"/>
      <c r="B9" s="8" t="s">
        <v>0</v>
      </c>
      <c r="C9" s="9" t="s">
        <v>12</v>
      </c>
      <c r="D9" s="8" t="s">
        <v>1</v>
      </c>
      <c r="E9" s="138" t="s">
        <v>73</v>
      </c>
      <c r="F9" s="43" t="s">
        <v>74</v>
      </c>
      <c r="G9" s="138" t="s">
        <v>73</v>
      </c>
      <c r="H9" s="43" t="s">
        <v>74</v>
      </c>
      <c r="I9" s="115" t="s">
        <v>9</v>
      </c>
      <c r="J9" s="115" t="s">
        <v>40</v>
      </c>
      <c r="K9" s="70"/>
    </row>
    <row r="10" spans="1:14" ht="12.75" customHeight="1">
      <c r="A10" s="76"/>
      <c r="B10" s="6">
        <v>1</v>
      </c>
      <c r="C10" s="4" t="s">
        <v>10</v>
      </c>
      <c r="D10" s="13" t="s">
        <v>5</v>
      </c>
      <c r="E10" s="87">
        <v>124430.67</v>
      </c>
      <c r="F10" s="139">
        <v>125851.26</v>
      </c>
      <c r="G10" s="144">
        <f>E10*(1+$H$6)</f>
        <v>130652.2035</v>
      </c>
      <c r="H10" s="145">
        <f>F10*(1+$H$6)</f>
        <v>132143.823</v>
      </c>
      <c r="I10" s="146">
        <f t="shared" ref="I10:I13" si="0">IF(G10&gt;0,H10/G10-1,"")</f>
        <v>1.1416719045232115E-2</v>
      </c>
      <c r="J10" s="131">
        <f t="shared" ref="J10:J11" si="1">IF(G10&gt;0,H10-G10,"")</f>
        <v>1491.6195000000007</v>
      </c>
      <c r="K10" s="130" t="str">
        <f>IF(H10&lt;&gt;G10,"þ"," ")</f>
        <v>þ</v>
      </c>
      <c r="N10" s="2"/>
    </row>
    <row r="11" spans="1:14" ht="12.75" customHeight="1">
      <c r="A11" s="76"/>
      <c r="B11" s="6"/>
      <c r="C11" s="4"/>
      <c r="D11" s="13" t="s">
        <v>6</v>
      </c>
      <c r="E11" s="87">
        <v>10369.219999999999</v>
      </c>
      <c r="F11" s="139">
        <v>10487.61</v>
      </c>
      <c r="G11" s="144">
        <f t="shared" ref="G11:G13" si="2">E11*(1+$H$6)</f>
        <v>10887.681</v>
      </c>
      <c r="H11" s="145">
        <f t="shared" ref="H11:H13" si="3">F11*(1+$H$6)</f>
        <v>11011.990500000002</v>
      </c>
      <c r="I11" s="146">
        <f t="shared" si="0"/>
        <v>1.1417445092302136E-2</v>
      </c>
      <c r="J11" s="131">
        <f t="shared" si="1"/>
        <v>124.30950000000121</v>
      </c>
      <c r="K11" s="130" t="str">
        <f>IF(H11&lt;&gt;G11,"þ"," ")</f>
        <v>þ</v>
      </c>
      <c r="N11" s="2"/>
    </row>
    <row r="12" spans="1:14" ht="12.75" customHeight="1">
      <c r="A12" s="76"/>
      <c r="B12" s="6">
        <v>2</v>
      </c>
      <c r="C12" s="4" t="s">
        <v>11</v>
      </c>
      <c r="D12" s="13" t="s">
        <v>7</v>
      </c>
      <c r="E12" s="87">
        <v>31.55</v>
      </c>
      <c r="F12" s="139">
        <v>31.64</v>
      </c>
      <c r="G12" s="144">
        <f t="shared" si="2"/>
        <v>33.127500000000005</v>
      </c>
      <c r="H12" s="145">
        <f t="shared" si="3"/>
        <v>33.222000000000001</v>
      </c>
      <c r="I12" s="146">
        <f t="shared" si="0"/>
        <v>2.8526148969887366E-3</v>
      </c>
      <c r="J12" s="131">
        <f t="shared" ref="J12" si="4">IF(G12&gt;0,H12-G12,"")</f>
        <v>9.4499999999996476E-2</v>
      </c>
      <c r="K12" s="130" t="str">
        <f>IF(H12&lt;&gt;G12,"þ"," ")</f>
        <v>þ</v>
      </c>
      <c r="N12" s="2"/>
    </row>
    <row r="13" spans="1:14" ht="12.75" customHeight="1">
      <c r="A13" s="76"/>
      <c r="B13" s="6">
        <v>3</v>
      </c>
      <c r="C13" s="4" t="s">
        <v>4</v>
      </c>
      <c r="D13" s="13" t="s">
        <v>8</v>
      </c>
      <c r="E13" s="87">
        <v>6.93</v>
      </c>
      <c r="F13" s="139">
        <v>6.93</v>
      </c>
      <c r="G13" s="144">
        <f t="shared" si="2"/>
        <v>7.2765000000000004</v>
      </c>
      <c r="H13" s="145">
        <f t="shared" si="3"/>
        <v>7.2765000000000004</v>
      </c>
      <c r="I13" s="146">
        <f t="shared" si="0"/>
        <v>0</v>
      </c>
      <c r="J13" s="131">
        <f t="shared" ref="J13" si="5">IF(G13&gt;0,H13-G13,"")</f>
        <v>0</v>
      </c>
      <c r="K13" s="130" t="str">
        <f>IF(H13&lt;&gt;G13,"þ"," ")</f>
        <v xml:space="preserve"> </v>
      </c>
      <c r="N13" s="2"/>
    </row>
    <row r="14" spans="1:14" ht="12.75" customHeight="1">
      <c r="A14" s="76"/>
      <c r="B14" s="103" t="s">
        <v>52</v>
      </c>
      <c r="C14" s="4"/>
      <c r="D14" s="4"/>
      <c r="E14" s="4"/>
      <c r="F14" s="4"/>
      <c r="G14" s="4"/>
      <c r="H14" s="4"/>
      <c r="I14" s="4"/>
      <c r="J14" s="4"/>
      <c r="K14" s="70"/>
    </row>
    <row r="15" spans="1:14" ht="18" customHeight="1">
      <c r="A15" s="76"/>
      <c r="B15" s="79" t="s">
        <v>21</v>
      </c>
      <c r="C15" s="80" t="s">
        <v>16</v>
      </c>
      <c r="D15" s="80" t="s">
        <v>61</v>
      </c>
      <c r="E15" s="81"/>
      <c r="F15" s="81"/>
      <c r="G15" s="81"/>
      <c r="H15" s="81"/>
      <c r="I15" s="81"/>
      <c r="J15" s="81"/>
      <c r="K15" s="70"/>
    </row>
    <row r="16" spans="1:14" ht="12.75" customHeight="1">
      <c r="A16" s="76"/>
      <c r="B16" s="50"/>
      <c r="C16" s="51"/>
      <c r="D16" s="51"/>
      <c r="E16" s="51" t="s">
        <v>2</v>
      </c>
      <c r="F16" s="51"/>
      <c r="G16" s="86" t="s">
        <v>3</v>
      </c>
      <c r="H16" s="51"/>
      <c r="I16" s="51"/>
      <c r="J16" s="52"/>
      <c r="K16" s="70"/>
    </row>
    <row r="17" spans="1:11" ht="12.75" customHeight="1">
      <c r="A17" s="76"/>
      <c r="B17" s="8"/>
      <c r="C17" s="9"/>
      <c r="D17" s="8"/>
      <c r="E17" s="115" t="s">
        <v>69</v>
      </c>
      <c r="F17" s="43" t="s">
        <v>70</v>
      </c>
      <c r="G17" s="115" t="s">
        <v>69</v>
      </c>
      <c r="H17" s="43" t="s">
        <v>70</v>
      </c>
      <c r="I17" s="115" t="s">
        <v>9</v>
      </c>
      <c r="J17" s="115" t="s">
        <v>40</v>
      </c>
      <c r="K17" s="70"/>
    </row>
    <row r="18" spans="1:11" ht="12.75" customHeight="1">
      <c r="A18" s="76"/>
      <c r="B18" s="6">
        <v>1</v>
      </c>
      <c r="C18" s="4" t="s">
        <v>13</v>
      </c>
      <c r="D18" s="13" t="s">
        <v>5</v>
      </c>
      <c r="E18" s="154">
        <v>75257.88</v>
      </c>
      <c r="F18" s="152">
        <v>75257.88</v>
      </c>
      <c r="G18" s="155">
        <f t="shared" ref="G18:G20" si="6">E18*(1+$H$6)</f>
        <v>79020.774000000005</v>
      </c>
      <c r="H18" s="153">
        <f t="shared" ref="H18:H20" si="7">F18*(1+$H$6)</f>
        <v>79020.774000000005</v>
      </c>
      <c r="I18" s="147">
        <f>IF(G18&gt;0,H18/G18-1,"")</f>
        <v>0</v>
      </c>
      <c r="J18" s="143">
        <f>IF(G18&gt;0,H18-G18,"")</f>
        <v>0</v>
      </c>
      <c r="K18" s="130" t="str">
        <f>IF(H18&lt;&gt;G18,"þ"," ")</f>
        <v xml:space="preserve"> </v>
      </c>
    </row>
    <row r="19" spans="1:11" ht="12.75" customHeight="1">
      <c r="A19" s="76"/>
      <c r="B19" s="6"/>
      <c r="C19" s="4"/>
      <c r="D19" s="13" t="s">
        <v>6</v>
      </c>
      <c r="E19" s="154">
        <v>6271.49</v>
      </c>
      <c r="F19" s="152">
        <v>6271.49</v>
      </c>
      <c r="G19" s="155">
        <f t="shared" si="6"/>
        <v>6585.0645000000004</v>
      </c>
      <c r="H19" s="153">
        <f t="shared" si="7"/>
        <v>6585.0645000000004</v>
      </c>
      <c r="I19" s="147">
        <f>IF(G19&gt;0,H19/G19-1,"")</f>
        <v>0</v>
      </c>
      <c r="J19" s="143">
        <f>IF(G19&gt;0,H19-G19,"")</f>
        <v>0</v>
      </c>
      <c r="K19" s="130" t="str">
        <f>IF(H19&lt;&gt;G19,"þ"," ")</f>
        <v xml:space="preserve"> </v>
      </c>
    </row>
    <row r="20" spans="1:11" ht="12.75" customHeight="1">
      <c r="A20" s="76"/>
      <c r="B20" s="6">
        <v>2</v>
      </c>
      <c r="C20" s="4" t="s">
        <v>14</v>
      </c>
      <c r="D20" s="13" t="s">
        <v>7</v>
      </c>
      <c r="E20" s="154">
        <v>16.420000000000002</v>
      </c>
      <c r="F20" s="152">
        <v>16.420000000000002</v>
      </c>
      <c r="G20" s="155">
        <f t="shared" si="6"/>
        <v>17.241000000000003</v>
      </c>
      <c r="H20" s="153">
        <f t="shared" si="7"/>
        <v>17.241000000000003</v>
      </c>
      <c r="I20" s="147">
        <f>IF(G20&gt;0,H20/G20-1,"")</f>
        <v>0</v>
      </c>
      <c r="J20" s="143">
        <f>IF(G20&gt;0,H20-G20,"")</f>
        <v>0</v>
      </c>
      <c r="K20" s="130" t="str">
        <f>IF(H20&lt;&gt;G20,"þ"," ")</f>
        <v xml:space="preserve"> </v>
      </c>
    </row>
    <row r="21" spans="1:11" ht="12.75" customHeight="1">
      <c r="A21" s="76"/>
      <c r="I21" s="142"/>
      <c r="J21" s="143"/>
      <c r="K21" s="130"/>
    </row>
    <row r="22" spans="1:11" ht="18" customHeight="1">
      <c r="A22" s="76"/>
      <c r="B22" s="79" t="s">
        <v>22</v>
      </c>
      <c r="C22" s="80" t="s">
        <v>16</v>
      </c>
      <c r="D22" s="80" t="s">
        <v>62</v>
      </c>
      <c r="E22" s="81"/>
      <c r="F22" s="81"/>
      <c r="G22" s="81"/>
      <c r="H22" s="81"/>
      <c r="I22" s="81"/>
      <c r="J22" s="81"/>
      <c r="K22" s="70"/>
    </row>
    <row r="23" spans="1:11" ht="12.75" customHeight="1">
      <c r="A23" s="76"/>
      <c r="B23" s="50"/>
      <c r="C23" s="51"/>
      <c r="D23" s="51"/>
      <c r="E23" s="51" t="s">
        <v>2</v>
      </c>
      <c r="F23" s="51"/>
      <c r="G23" s="86" t="s">
        <v>3</v>
      </c>
      <c r="H23" s="51"/>
      <c r="I23" s="51"/>
      <c r="J23" s="52"/>
      <c r="K23" s="94"/>
    </row>
    <row r="24" spans="1:11" ht="12.75" customHeight="1">
      <c r="A24" s="93"/>
      <c r="E24" s="115" t="s">
        <v>69</v>
      </c>
      <c r="F24" s="43" t="s">
        <v>70</v>
      </c>
      <c r="G24" s="115" t="s">
        <v>69</v>
      </c>
      <c r="H24" s="43" t="s">
        <v>70</v>
      </c>
      <c r="I24" s="115" t="s">
        <v>9</v>
      </c>
      <c r="J24" s="115" t="s">
        <v>40</v>
      </c>
      <c r="K24" s="70"/>
    </row>
    <row r="25" spans="1:11" ht="12.75" customHeight="1">
      <c r="A25" s="93"/>
      <c r="B25" s="6">
        <v>1</v>
      </c>
      <c r="C25" s="4" t="s">
        <v>13</v>
      </c>
      <c r="D25" s="13" t="s">
        <v>5</v>
      </c>
      <c r="E25" s="154">
        <v>63374.22</v>
      </c>
      <c r="F25" s="152">
        <v>63374.22</v>
      </c>
      <c r="G25" s="155">
        <f t="shared" ref="G25:G27" si="8">E25*(1+$H$6)</f>
        <v>66542.930999999997</v>
      </c>
      <c r="H25" s="153">
        <f t="shared" ref="H25:H27" si="9">F25*(1+$H$6)</f>
        <v>66542.930999999997</v>
      </c>
      <c r="I25" s="147">
        <f>IF(G25&gt;0,H25/G25-1,"")</f>
        <v>0</v>
      </c>
      <c r="J25" s="143">
        <f>IF(G25&gt;0,H25-G25,"")</f>
        <v>0</v>
      </c>
      <c r="K25" s="130" t="str">
        <f>IF(H25&lt;&gt;G25,"þ"," ")</f>
        <v xml:space="preserve"> </v>
      </c>
    </row>
    <row r="26" spans="1:11" ht="12.75" customHeight="1">
      <c r="A26" s="76"/>
      <c r="B26" s="6"/>
      <c r="C26" s="4"/>
      <c r="D26" s="13" t="s">
        <v>6</v>
      </c>
      <c r="E26" s="154">
        <v>5281.19</v>
      </c>
      <c r="F26" s="152">
        <v>5281.19</v>
      </c>
      <c r="G26" s="155">
        <f t="shared" si="8"/>
        <v>5545.2494999999999</v>
      </c>
      <c r="H26" s="153">
        <f t="shared" si="9"/>
        <v>5545.2494999999999</v>
      </c>
      <c r="I26" s="147">
        <f>IF(G26&gt;0,H26/G26-1,"")</f>
        <v>0</v>
      </c>
      <c r="J26" s="143">
        <f>IF(G26&gt;0,H26-G26,"")</f>
        <v>0</v>
      </c>
      <c r="K26" s="130" t="str">
        <f>IF(H26&lt;&gt;G26,"þ"," ")</f>
        <v xml:space="preserve"> </v>
      </c>
    </row>
    <row r="27" spans="1:11" ht="12.75" customHeight="1">
      <c r="A27" s="76"/>
      <c r="B27" s="6">
        <v>2</v>
      </c>
      <c r="C27" s="4" t="s">
        <v>14</v>
      </c>
      <c r="D27" s="13" t="s">
        <v>7</v>
      </c>
      <c r="E27" s="154">
        <v>17.84</v>
      </c>
      <c r="F27" s="152">
        <v>17.84</v>
      </c>
      <c r="G27" s="155">
        <f t="shared" si="8"/>
        <v>18.731999999999999</v>
      </c>
      <c r="H27" s="153">
        <f t="shared" si="9"/>
        <v>18.731999999999999</v>
      </c>
      <c r="I27" s="147">
        <f>IF(G27&gt;0,H27/G27-1,"")</f>
        <v>0</v>
      </c>
      <c r="J27" s="143">
        <f>IF(G27&gt;0,H27-G27,"")</f>
        <v>0</v>
      </c>
      <c r="K27" s="130" t="str">
        <f>IF(H27&lt;&gt;G27,"þ"," ")</f>
        <v xml:space="preserve"> </v>
      </c>
    </row>
    <row r="28" spans="1:11" ht="12.75" customHeight="1">
      <c r="A28" s="76"/>
      <c r="K28" s="70"/>
    </row>
    <row r="29" spans="1:11" ht="18" customHeight="1">
      <c r="A29" s="76"/>
      <c r="B29" s="79" t="s">
        <v>23</v>
      </c>
      <c r="C29" s="80" t="s">
        <v>16</v>
      </c>
      <c r="D29" s="80" t="s">
        <v>63</v>
      </c>
      <c r="E29" s="81"/>
      <c r="F29" s="81"/>
      <c r="G29" s="81"/>
      <c r="H29" s="81"/>
      <c r="I29" s="81"/>
      <c r="J29" s="81"/>
      <c r="K29" s="70"/>
    </row>
    <row r="30" spans="1:11" ht="12.75" customHeight="1">
      <c r="A30" s="76"/>
      <c r="B30" s="50"/>
      <c r="C30" s="51"/>
      <c r="D30" s="51"/>
      <c r="E30" s="51"/>
      <c r="F30" s="51"/>
      <c r="G30" s="86" t="s">
        <v>3</v>
      </c>
      <c r="H30" s="51"/>
      <c r="I30" s="51"/>
      <c r="J30" s="52"/>
      <c r="K30" s="70"/>
    </row>
    <row r="31" spans="1:11" ht="12.75" customHeight="1">
      <c r="A31" s="76"/>
      <c r="B31" s="8"/>
      <c r="C31" s="9"/>
      <c r="D31" s="8"/>
      <c r="E31" s="115" t="s">
        <v>69</v>
      </c>
      <c r="F31" s="43" t="s">
        <v>70</v>
      </c>
      <c r="G31" s="115" t="s">
        <v>69</v>
      </c>
      <c r="H31" s="43" t="s">
        <v>70</v>
      </c>
      <c r="I31" s="115" t="s">
        <v>9</v>
      </c>
      <c r="J31" s="115" t="s">
        <v>40</v>
      </c>
      <c r="K31" s="70"/>
    </row>
    <row r="32" spans="1:11" ht="12.75" customHeight="1">
      <c r="A32" s="76"/>
      <c r="B32" s="6">
        <v>1</v>
      </c>
      <c r="C32" s="4" t="s">
        <v>13</v>
      </c>
      <c r="D32" s="13" t="s">
        <v>5</v>
      </c>
      <c r="E32" s="154">
        <v>74937.990000000005</v>
      </c>
      <c r="F32" s="152">
        <v>74937.990000000005</v>
      </c>
      <c r="G32" s="155">
        <f t="shared" ref="G32:G34" si="10">E32*(1+$H$6)</f>
        <v>78684.889500000005</v>
      </c>
      <c r="H32" s="153">
        <f t="shared" ref="H32:H34" si="11">F32*(1+$H$6)</f>
        <v>78684.889500000005</v>
      </c>
      <c r="I32" s="147">
        <f>IF(G32&gt;0,H32/G32-1,"")</f>
        <v>0</v>
      </c>
      <c r="J32" s="143">
        <f>IF(G32&gt;0,H32-G32,"")</f>
        <v>0</v>
      </c>
      <c r="K32" s="130" t="str">
        <f>IF(H32&lt;&gt;G32,"þ"," ")</f>
        <v xml:space="preserve"> </v>
      </c>
    </row>
    <row r="33" spans="1:11" ht="12.75" customHeight="1">
      <c r="A33" s="76"/>
      <c r="B33" s="6"/>
      <c r="C33" s="4"/>
      <c r="D33" s="13" t="s">
        <v>6</v>
      </c>
      <c r="E33" s="154">
        <v>6244.83</v>
      </c>
      <c r="F33" s="152">
        <v>6244.83</v>
      </c>
      <c r="G33" s="155">
        <f t="shared" si="10"/>
        <v>6557.0715</v>
      </c>
      <c r="H33" s="153">
        <f t="shared" si="11"/>
        <v>6557.0715</v>
      </c>
      <c r="I33" s="147">
        <f>IF(G33&gt;0,H33/G33-1,"")</f>
        <v>0</v>
      </c>
      <c r="J33" s="143">
        <f>IF(G33&gt;0,H33-G33,"")</f>
        <v>0</v>
      </c>
      <c r="K33" s="130" t="str">
        <f>IF(H33&lt;&gt;G33,"þ"," ")</f>
        <v xml:space="preserve"> </v>
      </c>
    </row>
    <row r="34" spans="1:11" ht="12.75" customHeight="1">
      <c r="A34" s="76"/>
      <c r="B34" s="6">
        <v>2</v>
      </c>
      <c r="C34" s="4" t="s">
        <v>14</v>
      </c>
      <c r="D34" s="13" t="s">
        <v>7</v>
      </c>
      <c r="E34" s="154">
        <v>16.16</v>
      </c>
      <c r="F34" s="152">
        <v>16.16</v>
      </c>
      <c r="G34" s="155">
        <f t="shared" si="10"/>
        <v>16.968</v>
      </c>
      <c r="H34" s="153">
        <f t="shared" si="11"/>
        <v>16.968</v>
      </c>
      <c r="I34" s="147">
        <f>IF(G34&gt;0,H34/G34-1,"")</f>
        <v>0</v>
      </c>
      <c r="J34" s="143">
        <f>IF(G34&gt;0,H34-G34,"")</f>
        <v>0</v>
      </c>
      <c r="K34" s="130" t="str">
        <f>IF(H34&lt;&gt;G34,"þ"," ")</f>
        <v xml:space="preserve"> </v>
      </c>
    </row>
    <row r="35" spans="1:11" ht="12.75" customHeight="1">
      <c r="A35" s="76"/>
      <c r="K35" s="70"/>
    </row>
    <row r="36" spans="1:11" ht="18" customHeight="1">
      <c r="A36" s="76"/>
      <c r="B36" s="79" t="s">
        <v>24</v>
      </c>
      <c r="C36" s="80" t="s">
        <v>25</v>
      </c>
      <c r="D36" s="80"/>
      <c r="E36" s="81"/>
      <c r="F36" s="81"/>
      <c r="G36" s="81"/>
      <c r="H36" s="81"/>
      <c r="I36" s="81"/>
      <c r="J36" s="81"/>
      <c r="K36" s="70"/>
    </row>
    <row r="37" spans="1:11" ht="12.75" customHeight="1">
      <c r="A37" s="76"/>
      <c r="B37" s="50"/>
      <c r="C37" s="51"/>
      <c r="D37" s="51"/>
      <c r="E37" s="51"/>
      <c r="F37" s="51"/>
      <c r="G37" s="86" t="s">
        <v>3</v>
      </c>
      <c r="H37" s="51"/>
      <c r="I37" s="51"/>
      <c r="J37" s="52"/>
      <c r="K37" s="70"/>
    </row>
    <row r="38" spans="1:11" ht="12.75" customHeight="1">
      <c r="A38" s="76"/>
      <c r="B38" s="6"/>
      <c r="C38" s="4"/>
      <c r="D38" s="4"/>
      <c r="E38" s="9"/>
      <c r="F38" s="6" t="s">
        <v>26</v>
      </c>
      <c r="G38" s="138" t="s">
        <v>73</v>
      </c>
      <c r="H38" s="43" t="s">
        <v>74</v>
      </c>
      <c r="I38" s="115" t="s">
        <v>9</v>
      </c>
      <c r="J38" s="115" t="s">
        <v>40</v>
      </c>
      <c r="K38" s="70"/>
    </row>
    <row r="39" spans="1:11" ht="12.75" customHeight="1">
      <c r="A39" s="76"/>
      <c r="B39" s="6">
        <v>1</v>
      </c>
      <c r="C39" s="4" t="s">
        <v>11</v>
      </c>
      <c r="D39" s="13" t="s">
        <v>7</v>
      </c>
      <c r="E39" s="9"/>
      <c r="F39" s="29" t="s">
        <v>15</v>
      </c>
      <c r="G39" s="144">
        <f>G12+G20</f>
        <v>50.368500000000012</v>
      </c>
      <c r="H39" s="145">
        <f>H12+H20</f>
        <v>50.463000000000008</v>
      </c>
      <c r="I39" s="146">
        <f>IF(G39&gt;0,H39/G39-1,"")</f>
        <v>1.8761726078797558E-3</v>
      </c>
      <c r="J39" s="131">
        <f>IF(G39&gt;0,H39-G39,"")</f>
        <v>9.4499999999996476E-2</v>
      </c>
      <c r="K39" s="130" t="str">
        <f>IF(H39&lt;&gt;G39,"þ"," ")</f>
        <v>þ</v>
      </c>
    </row>
    <row r="40" spans="1:11" ht="12.75" customHeight="1">
      <c r="A40" s="76"/>
      <c r="B40" s="6"/>
      <c r="C40" s="4"/>
      <c r="D40" s="4"/>
      <c r="E40" s="9"/>
      <c r="F40" s="29" t="s">
        <v>19</v>
      </c>
      <c r="G40" s="144">
        <f>G12+G27</f>
        <v>51.859500000000004</v>
      </c>
      <c r="H40" s="145">
        <f>H12+H27</f>
        <v>51.954000000000001</v>
      </c>
      <c r="I40" s="146">
        <f>IF(G40&gt;0,H40/G40-1,"")</f>
        <v>1.8222312208948654E-3</v>
      </c>
      <c r="J40" s="131">
        <f>IF(G40&gt;0,H40-G40,"")</f>
        <v>9.4499999999996476E-2</v>
      </c>
      <c r="K40" s="130" t="str">
        <f>IF(H40&lt;&gt;G40,"þ"," ")</f>
        <v>þ</v>
      </c>
    </row>
    <row r="41" spans="1:11" ht="12.75" customHeight="1">
      <c r="A41" s="76"/>
      <c r="B41" s="103" t="s">
        <v>53</v>
      </c>
      <c r="E41" s="9"/>
      <c r="F41" s="29" t="s">
        <v>20</v>
      </c>
      <c r="G41" s="144">
        <f>G12+G34</f>
        <v>50.095500000000001</v>
      </c>
      <c r="H41" s="145">
        <f>H12+H34</f>
        <v>50.19</v>
      </c>
      <c r="I41" s="146">
        <f>IF(G41&gt;0,H41/G41-1,"")</f>
        <v>1.8863969817648485E-3</v>
      </c>
      <c r="J41" s="131">
        <f>IF(G41&gt;0,H41-G41,"")</f>
        <v>9.4499999999996476E-2</v>
      </c>
      <c r="K41" s="130" t="str">
        <f>IF(H41&lt;&gt;G41,"þ"," ")</f>
        <v>þ</v>
      </c>
    </row>
    <row r="42" spans="1:11" ht="18" customHeight="1">
      <c r="A42" s="76"/>
      <c r="B42" s="79" t="s">
        <v>54</v>
      </c>
      <c r="C42" s="80" t="s">
        <v>16</v>
      </c>
      <c r="D42" s="81"/>
      <c r="E42" s="81"/>
      <c r="F42" s="81"/>
      <c r="G42" s="81"/>
      <c r="H42" s="81"/>
      <c r="I42" s="81"/>
      <c r="J42" s="81"/>
      <c r="K42" s="70"/>
    </row>
    <row r="43" spans="1:11" ht="12.75" customHeight="1">
      <c r="A43" s="76"/>
      <c r="B43" s="50"/>
      <c r="C43" s="51"/>
      <c r="D43" s="51"/>
      <c r="E43" s="51" t="s">
        <v>2</v>
      </c>
      <c r="F43" s="51"/>
      <c r="G43" s="86" t="s">
        <v>3</v>
      </c>
      <c r="H43" s="51"/>
      <c r="I43" s="51"/>
      <c r="J43" s="52"/>
      <c r="K43" s="70"/>
    </row>
    <row r="44" spans="1:11" ht="12.75" customHeight="1">
      <c r="A44" s="76"/>
      <c r="B44" s="8" t="s">
        <v>0</v>
      </c>
      <c r="C44" s="9" t="s">
        <v>12</v>
      </c>
      <c r="D44" s="8" t="s">
        <v>1</v>
      </c>
      <c r="E44" s="115" t="s">
        <v>71</v>
      </c>
      <c r="F44" s="43" t="s">
        <v>72</v>
      </c>
      <c r="G44" s="115" t="s">
        <v>69</v>
      </c>
      <c r="H44" s="43" t="s">
        <v>72</v>
      </c>
      <c r="I44" s="115" t="s">
        <v>9</v>
      </c>
      <c r="J44" s="115" t="s">
        <v>40</v>
      </c>
      <c r="K44" s="70"/>
    </row>
    <row r="45" spans="1:11" ht="12.75" customHeight="1">
      <c r="A45" s="76"/>
      <c r="B45" s="6">
        <v>1</v>
      </c>
      <c r="C45" s="4" t="s">
        <v>10</v>
      </c>
      <c r="D45" s="13" t="s">
        <v>5</v>
      </c>
      <c r="E45" s="154">
        <v>349749.06</v>
      </c>
      <c r="F45" s="152">
        <v>349749.06</v>
      </c>
      <c r="G45" s="155">
        <f t="shared" ref="G45:G47" si="12">E45*(1+$H$6)</f>
        <v>367236.51300000004</v>
      </c>
      <c r="H45" s="153">
        <f t="shared" ref="H45:H47" si="13">F45*(1+$H$6)</f>
        <v>367236.51300000004</v>
      </c>
      <c r="I45" s="147">
        <f>IF(G45&gt;0,H45/G45-1,"")</f>
        <v>0</v>
      </c>
      <c r="J45" s="143">
        <f>IF(G45&gt;0,H45-G45,"")</f>
        <v>0</v>
      </c>
      <c r="K45" s="130" t="str">
        <f>IF(H45&lt;&gt;G45,"þ"," ")</f>
        <v xml:space="preserve"> </v>
      </c>
    </row>
    <row r="46" spans="1:11" ht="12.75" customHeight="1">
      <c r="A46" s="76"/>
      <c r="B46" s="6"/>
      <c r="C46" s="4"/>
      <c r="D46" s="13" t="s">
        <v>6</v>
      </c>
      <c r="E46" s="154">
        <v>29145.759999999998</v>
      </c>
      <c r="F46" s="152">
        <v>29145.759999999998</v>
      </c>
      <c r="G46" s="155">
        <f t="shared" si="12"/>
        <v>30603.047999999999</v>
      </c>
      <c r="H46" s="153">
        <f t="shared" si="13"/>
        <v>30603.047999999999</v>
      </c>
      <c r="I46" s="147">
        <f t="shared" ref="I46:I48" si="14">IF(G46&gt;0,H46/G46-1,"")</f>
        <v>0</v>
      </c>
      <c r="J46" s="143">
        <f t="shared" ref="J46:J48" si="15">IF(G46&gt;0,H46-G46,"")</f>
        <v>0</v>
      </c>
      <c r="K46" s="130" t="str">
        <f>IF(H46&lt;&gt;G46,"þ"," ")</f>
        <v xml:space="preserve"> </v>
      </c>
    </row>
    <row r="47" spans="1:11" ht="12.75" customHeight="1">
      <c r="A47" s="76"/>
      <c r="B47" s="6">
        <v>2</v>
      </c>
      <c r="C47" s="4" t="s">
        <v>11</v>
      </c>
      <c r="D47" s="13" t="s">
        <v>7</v>
      </c>
      <c r="E47" s="154">
        <v>89.27</v>
      </c>
      <c r="F47" s="152">
        <v>89.27</v>
      </c>
      <c r="G47" s="155">
        <f t="shared" si="12"/>
        <v>93.733500000000006</v>
      </c>
      <c r="H47" s="153">
        <f t="shared" si="13"/>
        <v>93.733500000000006</v>
      </c>
      <c r="I47" s="147">
        <f t="shared" si="14"/>
        <v>0</v>
      </c>
      <c r="J47" s="143">
        <f t="shared" si="15"/>
        <v>0</v>
      </c>
      <c r="K47" s="130" t="str">
        <f>IF(H47&lt;&gt;G47,"þ"," ")</f>
        <v xml:space="preserve"> </v>
      </c>
    </row>
    <row r="48" spans="1:11" ht="12.75" customHeight="1">
      <c r="A48" s="76"/>
      <c r="B48" s="6">
        <v>3</v>
      </c>
      <c r="C48" s="4" t="s">
        <v>4</v>
      </c>
      <c r="D48" s="13" t="s">
        <v>8</v>
      </c>
      <c r="E48" s="154">
        <v>26.84</v>
      </c>
      <c r="F48" s="152">
        <v>26.84</v>
      </c>
      <c r="G48" s="155">
        <f t="shared" ref="G48" si="16">E48*(1+$H$6)</f>
        <v>28.182000000000002</v>
      </c>
      <c r="H48" s="153">
        <f t="shared" ref="H48" si="17">F48*(1+$H$6)</f>
        <v>28.182000000000002</v>
      </c>
      <c r="I48" s="147">
        <f t="shared" si="14"/>
        <v>0</v>
      </c>
      <c r="J48" s="143">
        <f t="shared" si="15"/>
        <v>0</v>
      </c>
      <c r="K48" s="130" t="str">
        <f>IF(H48&lt;&gt;G48,"þ"," ")</f>
        <v xml:space="preserve"> </v>
      </c>
    </row>
    <row r="49" spans="1:11" ht="12.75" customHeight="1">
      <c r="A49" s="76"/>
      <c r="K49" s="70"/>
    </row>
    <row r="50" spans="1:11" ht="18" customHeight="1">
      <c r="A50" s="76"/>
      <c r="B50" s="79" t="s">
        <v>59</v>
      </c>
      <c r="C50" s="80" t="s">
        <v>16</v>
      </c>
      <c r="D50" s="80" t="s">
        <v>64</v>
      </c>
      <c r="E50" s="81"/>
      <c r="F50" s="81"/>
      <c r="G50" s="81"/>
      <c r="H50" s="81"/>
      <c r="I50" s="81"/>
      <c r="J50" s="81"/>
      <c r="K50" s="70"/>
    </row>
    <row r="51" spans="1:11" ht="12.75" customHeight="1">
      <c r="A51" s="76"/>
      <c r="B51" s="50"/>
      <c r="C51" s="51"/>
      <c r="D51" s="51"/>
      <c r="E51" s="51" t="s">
        <v>2</v>
      </c>
      <c r="F51" s="51"/>
      <c r="G51" s="86" t="s">
        <v>3</v>
      </c>
      <c r="H51" s="51"/>
      <c r="I51" s="51"/>
      <c r="J51" s="52"/>
      <c r="K51" s="70"/>
    </row>
    <row r="52" spans="1:11" ht="12.75" customHeight="1">
      <c r="A52" s="76"/>
      <c r="E52" s="115" t="s">
        <v>69</v>
      </c>
      <c r="F52" s="43" t="s">
        <v>70</v>
      </c>
      <c r="G52" s="115" t="s">
        <v>69</v>
      </c>
      <c r="H52" s="43" t="s">
        <v>70</v>
      </c>
      <c r="I52" s="115" t="s">
        <v>9</v>
      </c>
      <c r="J52" s="115" t="s">
        <v>40</v>
      </c>
      <c r="K52" s="70"/>
    </row>
    <row r="53" spans="1:11" ht="12.75" customHeight="1">
      <c r="A53" s="76"/>
      <c r="B53" s="6">
        <v>1</v>
      </c>
      <c r="C53" s="4" t="s">
        <v>13</v>
      </c>
      <c r="D53" s="13" t="s">
        <v>5</v>
      </c>
      <c r="E53" s="154">
        <v>36025.730000000003</v>
      </c>
      <c r="F53" s="152">
        <v>36025.730000000003</v>
      </c>
      <c r="G53" s="155">
        <f t="shared" ref="G53:G55" si="18">E53*(1+$H$6)</f>
        <v>37827.016500000005</v>
      </c>
      <c r="H53" s="153">
        <f t="shared" ref="H53:H55" si="19">F53*(1+$H$6)</f>
        <v>37827.016500000005</v>
      </c>
      <c r="I53" s="147">
        <f t="shared" ref="I53:I55" si="20">IF(G53&gt;0,H53/G53-1,"")</f>
        <v>0</v>
      </c>
      <c r="J53" s="143">
        <f t="shared" ref="J53:J55" si="21">IF(G53&gt;0,H53-G53,"")</f>
        <v>0</v>
      </c>
      <c r="K53" s="130" t="str">
        <f>IF(H53&lt;&gt;G53,"þ"," ")</f>
        <v xml:space="preserve"> </v>
      </c>
    </row>
    <row r="54" spans="1:11" ht="12.75" customHeight="1">
      <c r="A54" s="76"/>
      <c r="B54" s="6"/>
      <c r="C54" s="4"/>
      <c r="D54" s="13" t="s">
        <v>6</v>
      </c>
      <c r="E54" s="154">
        <v>3002.14</v>
      </c>
      <c r="F54" s="152">
        <v>3002.14</v>
      </c>
      <c r="G54" s="155">
        <f t="shared" si="18"/>
        <v>3152.2469999999998</v>
      </c>
      <c r="H54" s="153">
        <f t="shared" si="19"/>
        <v>3152.2469999999998</v>
      </c>
      <c r="I54" s="147">
        <f t="shared" si="20"/>
        <v>0</v>
      </c>
      <c r="J54" s="143">
        <f t="shared" si="21"/>
        <v>0</v>
      </c>
      <c r="K54" s="130" t="str">
        <f>IF(H54&lt;&gt;G54,"þ"," ")</f>
        <v xml:space="preserve"> </v>
      </c>
    </row>
    <row r="55" spans="1:11" ht="12.75" customHeight="1">
      <c r="A55" s="76"/>
      <c r="B55" s="6">
        <v>2</v>
      </c>
      <c r="C55" s="4" t="s">
        <v>14</v>
      </c>
      <c r="D55" s="13" t="s">
        <v>7</v>
      </c>
      <c r="E55" s="154">
        <v>10.26</v>
      </c>
      <c r="F55" s="152">
        <v>10.26</v>
      </c>
      <c r="G55" s="155">
        <f t="shared" si="18"/>
        <v>10.773</v>
      </c>
      <c r="H55" s="153">
        <f t="shared" si="19"/>
        <v>10.773</v>
      </c>
      <c r="I55" s="147">
        <f t="shared" si="20"/>
        <v>0</v>
      </c>
      <c r="J55" s="143">
        <f t="shared" si="21"/>
        <v>0</v>
      </c>
      <c r="K55" s="130" t="str">
        <f>IF(H55&lt;&gt;G55,"þ"," ")</f>
        <v xml:space="preserve"> </v>
      </c>
    </row>
    <row r="56" spans="1:11" ht="12.75" customHeight="1" thickBot="1">
      <c r="A56" s="78"/>
      <c r="B56" s="67"/>
      <c r="C56" s="68"/>
      <c r="D56" s="68"/>
      <c r="E56" s="68"/>
      <c r="F56" s="68"/>
      <c r="G56" s="68"/>
      <c r="H56" s="68"/>
      <c r="I56" s="68"/>
      <c r="J56" s="68"/>
      <c r="K56" s="73"/>
    </row>
    <row r="57" spans="1:11" ht="13.5" thickTop="1"/>
  </sheetData>
  <phoneticPr fontId="9" type="noConversion"/>
  <printOptions horizontalCentered="1"/>
  <pageMargins left="0.19685039370078741" right="0.19685039370078741" top="0.59055118110236227" bottom="0.59055118110236227" header="0.31496062992125984" footer="0.7086614173228347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Arkusz1"/>
  <dimension ref="A1:L59"/>
  <sheetViews>
    <sheetView showGridLines="0" tabSelected="1" workbookViewId="0">
      <selection activeCell="E11" sqref="E11"/>
    </sheetView>
  </sheetViews>
  <sheetFormatPr defaultRowHeight="12.75"/>
  <cols>
    <col min="1" max="1" width="4.7109375" customWidth="1"/>
    <col min="2" max="2" width="4.7109375" style="1" customWidth="1"/>
    <col min="3" max="3" width="20.7109375" customWidth="1"/>
    <col min="4" max="4" width="7.7109375" customWidth="1"/>
    <col min="5" max="5" width="9.7109375" customWidth="1"/>
    <col min="6" max="6" width="7.7109375" customWidth="1"/>
    <col min="7" max="9" width="9.7109375" customWidth="1"/>
    <col min="10" max="10" width="10.7109375" customWidth="1"/>
    <col min="11" max="11" width="4.7109375" customWidth="1"/>
    <col min="12" max="12" width="4.42578125" customWidth="1"/>
  </cols>
  <sheetData>
    <row r="1" spans="1:11" ht="12.75" customHeight="1" thickTop="1">
      <c r="A1" s="75"/>
      <c r="B1" s="134" t="s">
        <v>47</v>
      </c>
      <c r="C1" s="135" t="s">
        <v>51</v>
      </c>
      <c r="D1" s="74"/>
      <c r="E1" s="74"/>
      <c r="F1" s="74"/>
      <c r="G1" s="74"/>
      <c r="H1" s="74"/>
      <c r="I1" s="74"/>
      <c r="J1" s="74"/>
      <c r="K1" s="69"/>
    </row>
    <row r="2" spans="1:11" ht="12.75" customHeight="1">
      <c r="A2" s="76"/>
      <c r="B2" s="4"/>
      <c r="C2" s="4"/>
      <c r="D2" s="4"/>
      <c r="E2" s="4"/>
      <c r="F2" s="4"/>
      <c r="G2" s="4"/>
      <c r="H2" s="4"/>
      <c r="I2" s="5" t="s">
        <v>49</v>
      </c>
      <c r="J2" s="48">
        <f>Ceny!J2</f>
        <v>44782</v>
      </c>
      <c r="K2" s="70"/>
    </row>
    <row r="3" spans="1:11" ht="18" customHeight="1">
      <c r="A3" s="76"/>
      <c r="B3" s="50"/>
      <c r="C3" s="53" t="s">
        <v>46</v>
      </c>
      <c r="D3" s="51"/>
      <c r="E3" s="51"/>
      <c r="F3" s="51"/>
      <c r="G3" s="51"/>
      <c r="H3" s="51"/>
      <c r="I3" s="51"/>
      <c r="J3" s="82">
        <f>Ceny!J3</f>
        <v>2022</v>
      </c>
      <c r="K3" s="70"/>
    </row>
    <row r="4" spans="1:11" ht="18" customHeight="1">
      <c r="A4" s="76"/>
      <c r="B4" s="50"/>
      <c r="C4" s="57" t="s">
        <v>39</v>
      </c>
      <c r="D4" s="51"/>
      <c r="E4" s="51"/>
      <c r="F4" s="51"/>
      <c r="G4" s="51"/>
      <c r="H4" s="51"/>
      <c r="I4" s="51"/>
      <c r="J4" s="52"/>
      <c r="K4" s="70"/>
    </row>
    <row r="5" spans="1:11" ht="12.75" customHeight="1">
      <c r="A5" s="76"/>
      <c r="B5" s="6"/>
      <c r="C5" s="7" t="s">
        <v>50</v>
      </c>
      <c r="D5" s="46" t="str">
        <f>IF(LEN(Ceny!D5&gt;0),Ceny!D5," ")</f>
        <v>Nowa taryfa dla ciepła MZGOK Sp. z o.o. obowiązująca od dnia 2022-08-09</v>
      </c>
      <c r="E5" s="46"/>
      <c r="F5" s="46"/>
      <c r="G5" s="46"/>
      <c r="H5" s="46"/>
      <c r="I5" s="46"/>
      <c r="J5" s="49"/>
      <c r="K5" s="70"/>
    </row>
    <row r="6" spans="1:11" ht="12.75" customHeight="1">
      <c r="A6" s="76"/>
      <c r="B6" s="6"/>
      <c r="D6" s="46"/>
      <c r="E6" s="47"/>
      <c r="F6" s="47"/>
      <c r="G6" s="47"/>
      <c r="H6" s="47"/>
      <c r="I6" s="47"/>
      <c r="J6" s="4"/>
      <c r="K6" s="70"/>
    </row>
    <row r="7" spans="1:11" ht="18" customHeight="1">
      <c r="A7" s="76"/>
      <c r="B7" s="79" t="s">
        <v>17</v>
      </c>
      <c r="C7" s="80" t="s">
        <v>27</v>
      </c>
      <c r="D7" s="81"/>
      <c r="E7" s="81"/>
      <c r="F7" s="81"/>
      <c r="G7" s="81"/>
      <c r="H7" s="81"/>
      <c r="I7" s="81"/>
      <c r="J7" s="81"/>
      <c r="K7" s="70"/>
    </row>
    <row r="8" spans="1:11" ht="12.75" customHeight="1">
      <c r="A8" s="76"/>
      <c r="B8" s="50"/>
      <c r="C8" s="51"/>
      <c r="D8" s="51"/>
      <c r="E8" s="51"/>
      <c r="F8" s="51"/>
      <c r="G8" s="51"/>
      <c r="H8" s="51"/>
      <c r="I8" s="51"/>
      <c r="J8" s="52"/>
      <c r="K8" s="70"/>
    </row>
    <row r="9" spans="1:11" ht="12.75" customHeight="1">
      <c r="A9" s="76"/>
      <c r="B9" s="8"/>
      <c r="C9" s="9"/>
      <c r="D9" s="8"/>
      <c r="E9" s="8"/>
      <c r="F9" s="8"/>
      <c r="G9" s="8"/>
      <c r="H9" s="10"/>
      <c r="I9" s="11"/>
      <c r="J9" s="8"/>
      <c r="K9" s="70"/>
    </row>
    <row r="10" spans="1:11" ht="12.75" customHeight="1">
      <c r="A10" s="76"/>
      <c r="B10" s="4"/>
      <c r="C10" s="4"/>
      <c r="D10" s="4"/>
      <c r="E10" s="9"/>
      <c r="F10" s="9"/>
      <c r="G10" s="4"/>
      <c r="H10" s="4"/>
      <c r="I10" s="4"/>
      <c r="J10" s="4"/>
      <c r="K10" s="70"/>
    </row>
    <row r="11" spans="1:11" ht="12.75" customHeight="1">
      <c r="A11" s="76"/>
      <c r="B11" s="6">
        <v>1</v>
      </c>
      <c r="C11" s="12" t="s">
        <v>41</v>
      </c>
      <c r="D11" s="4"/>
      <c r="E11" s="66">
        <v>8</v>
      </c>
      <c r="F11" s="14"/>
      <c r="G11" s="4"/>
      <c r="H11" s="15"/>
      <c r="I11" s="64">
        <f>E11/1000</f>
        <v>8.0000000000000002E-3</v>
      </c>
      <c r="J11" s="16" t="s">
        <v>32</v>
      </c>
      <c r="K11" s="70"/>
    </row>
    <row r="12" spans="1:11" ht="12.75" customHeight="1">
      <c r="A12" s="76"/>
      <c r="B12" s="4"/>
      <c r="C12" s="17" t="s">
        <v>28</v>
      </c>
      <c r="D12" s="4"/>
      <c r="E12" s="4"/>
      <c r="F12" s="13"/>
      <c r="G12" s="18"/>
      <c r="H12" s="19"/>
      <c r="I12" s="4"/>
      <c r="J12" s="17"/>
      <c r="K12" s="70"/>
    </row>
    <row r="13" spans="1:11" ht="12.75" customHeight="1">
      <c r="A13" s="76"/>
      <c r="B13" s="4"/>
      <c r="C13" s="4"/>
      <c r="D13" s="4"/>
      <c r="E13" s="4"/>
      <c r="F13" s="4"/>
      <c r="G13" s="4"/>
      <c r="H13" s="4"/>
      <c r="I13" s="4"/>
      <c r="J13" s="4"/>
      <c r="K13" s="70"/>
    </row>
    <row r="14" spans="1:11" ht="12.75" customHeight="1">
      <c r="A14" s="76"/>
      <c r="B14" s="4"/>
      <c r="C14" s="4"/>
      <c r="D14" s="4"/>
      <c r="E14" s="4"/>
      <c r="F14" s="104" t="s">
        <v>55</v>
      </c>
      <c r="G14" s="105"/>
      <c r="H14" s="106"/>
      <c r="I14" s="106"/>
      <c r="J14" s="106"/>
      <c r="K14" s="70"/>
    </row>
    <row r="15" spans="1:11" ht="12.75" customHeight="1">
      <c r="A15" s="76"/>
      <c r="B15" s="6">
        <v>2</v>
      </c>
      <c r="C15" s="12" t="s">
        <v>31</v>
      </c>
      <c r="D15" s="4"/>
      <c r="E15" s="20">
        <v>1</v>
      </c>
      <c r="F15" s="104" t="s">
        <v>56</v>
      </c>
      <c r="G15" s="105"/>
      <c r="H15" s="107"/>
      <c r="I15" s="108"/>
      <c r="J15" s="109"/>
      <c r="K15" s="70"/>
    </row>
    <row r="16" spans="1:11" ht="12.75" customHeight="1">
      <c r="A16" s="76"/>
      <c r="B16" s="4"/>
      <c r="C16" s="17" t="s">
        <v>29</v>
      </c>
      <c r="D16" s="4"/>
      <c r="E16" s="4"/>
      <c r="F16" s="104" t="s">
        <v>57</v>
      </c>
      <c r="G16" s="105"/>
      <c r="H16" s="106"/>
      <c r="I16" s="106"/>
      <c r="J16" s="106"/>
      <c r="K16" s="70"/>
    </row>
    <row r="17" spans="1:12" ht="12.75" customHeight="1">
      <c r="A17" s="76"/>
      <c r="B17" s="4"/>
      <c r="C17" s="4"/>
      <c r="D17" s="4"/>
      <c r="E17" s="4"/>
      <c r="F17" s="21" t="s">
        <v>58</v>
      </c>
      <c r="H17" s="4"/>
      <c r="I17" s="4"/>
      <c r="J17" s="4"/>
      <c r="K17" s="70"/>
    </row>
    <row r="18" spans="1:12" ht="12.75" customHeight="1">
      <c r="A18" s="76"/>
      <c r="K18" s="70"/>
    </row>
    <row r="19" spans="1:12" ht="12.75" customHeight="1">
      <c r="A19" s="76"/>
      <c r="B19" s="4"/>
      <c r="C19" s="4"/>
      <c r="D19" s="4"/>
      <c r="E19" s="4"/>
      <c r="F19" s="4"/>
      <c r="G19" s="4"/>
      <c r="H19" s="4"/>
      <c r="I19" s="4"/>
      <c r="J19" s="4"/>
      <c r="K19" s="70"/>
    </row>
    <row r="20" spans="1:12" ht="12.75" customHeight="1">
      <c r="A20" s="76"/>
      <c r="B20" s="6">
        <v>3</v>
      </c>
      <c r="C20" s="12" t="s">
        <v>42</v>
      </c>
      <c r="D20" s="4"/>
      <c r="E20" s="66">
        <v>15</v>
      </c>
      <c r="F20" s="20">
        <v>1</v>
      </c>
      <c r="G20" s="12"/>
      <c r="H20" s="12"/>
      <c r="I20" s="65">
        <f>E20</f>
        <v>15</v>
      </c>
      <c r="J20" s="13" t="s">
        <v>30</v>
      </c>
      <c r="K20" s="70"/>
    </row>
    <row r="21" spans="1:12" ht="12.75" customHeight="1">
      <c r="A21" s="76"/>
      <c r="B21" s="6"/>
      <c r="C21" s="17" t="s">
        <v>30</v>
      </c>
      <c r="D21" s="12"/>
      <c r="E21" s="12"/>
      <c r="F21" s="12"/>
      <c r="G21" s="12"/>
      <c r="H21" s="12"/>
      <c r="I21" s="12"/>
      <c r="J21" s="15"/>
      <c r="K21" s="70"/>
    </row>
    <row r="22" spans="1:12" ht="12.75" customHeight="1">
      <c r="A22" s="76"/>
      <c r="B22" s="6"/>
      <c r="C22" s="9"/>
      <c r="D22" s="12"/>
      <c r="E22" s="12"/>
      <c r="F22" s="12"/>
      <c r="G22" s="12"/>
      <c r="H22" s="12"/>
      <c r="I22" s="65">
        <f>E20/3.6/0.001</f>
        <v>4166.666666666667</v>
      </c>
      <c r="J22" s="13" t="s">
        <v>33</v>
      </c>
      <c r="K22" s="70"/>
    </row>
    <row r="23" spans="1:12" ht="12.75" customHeight="1">
      <c r="A23" s="77"/>
      <c r="B23" s="22">
        <v>4</v>
      </c>
      <c r="C23" s="23" t="s">
        <v>44</v>
      </c>
      <c r="D23" s="24"/>
      <c r="E23" s="22">
        <v>1</v>
      </c>
      <c r="F23" s="25"/>
      <c r="G23" s="24"/>
      <c r="H23" s="24"/>
      <c r="I23" s="24" t="s">
        <v>43</v>
      </c>
      <c r="J23" s="22" t="s">
        <v>29</v>
      </c>
      <c r="K23" s="70"/>
    </row>
    <row r="24" spans="1:12" ht="12.75" customHeight="1">
      <c r="A24" s="77"/>
      <c r="B24" s="22">
        <v>5</v>
      </c>
      <c r="C24" s="23" t="s">
        <v>44</v>
      </c>
      <c r="D24" s="26"/>
      <c r="E24" s="26"/>
      <c r="F24" s="26"/>
      <c r="G24" s="26"/>
      <c r="H24" s="26"/>
      <c r="I24" s="26"/>
      <c r="J24" s="26"/>
      <c r="K24" s="70"/>
    </row>
    <row r="25" spans="1:12" ht="12.75" customHeight="1">
      <c r="A25" s="77"/>
      <c r="B25" s="27"/>
      <c r="C25" s="28"/>
      <c r="D25" s="28"/>
      <c r="E25" s="28"/>
      <c r="F25" s="28"/>
      <c r="G25" s="28"/>
      <c r="H25" s="28"/>
      <c r="I25" s="28"/>
      <c r="J25" s="28"/>
      <c r="K25" s="70"/>
    </row>
    <row r="26" spans="1:12" ht="18" customHeight="1">
      <c r="A26" s="76"/>
      <c r="B26" s="79" t="s">
        <v>18</v>
      </c>
      <c r="C26" s="80" t="s">
        <v>36</v>
      </c>
      <c r="D26" s="80"/>
      <c r="E26" s="81"/>
      <c r="F26" s="81"/>
      <c r="G26" s="81"/>
      <c r="H26" s="81"/>
      <c r="I26" s="81"/>
      <c r="J26" s="81"/>
      <c r="K26" s="70"/>
    </row>
    <row r="27" spans="1:12" ht="12.75" customHeight="1">
      <c r="A27" s="76"/>
      <c r="B27" s="50"/>
      <c r="C27" s="86" t="str">
        <f>IF($E$15=4,"Dla grupy A5 opłaty źródła i przesyłu dotyczą MPEC-KONIN Sp. z o.o."," ")</f>
        <v xml:space="preserve"> </v>
      </c>
      <c r="D27" s="51"/>
      <c r="E27" s="51"/>
      <c r="F27" s="51"/>
      <c r="G27" s="51"/>
      <c r="H27" s="54" t="s">
        <v>60</v>
      </c>
      <c r="I27" s="56" t="s">
        <v>48</v>
      </c>
      <c r="J27" s="55" t="s">
        <v>9</v>
      </c>
      <c r="K27" s="129"/>
    </row>
    <row r="28" spans="1:12" ht="12.75" customHeight="1">
      <c r="A28" s="76"/>
      <c r="B28" s="9"/>
      <c r="F28" s="29"/>
      <c r="G28" s="8"/>
      <c r="H28" s="114">
        <f>IF(I40&lt;&gt;0,IF(E15=4,0,I32/I40),0)</f>
        <v>0.65323818488728524</v>
      </c>
      <c r="I28" s="114">
        <f>1-H28</f>
        <v>0.34676181511271476</v>
      </c>
      <c r="J28" s="30"/>
      <c r="K28" s="129"/>
    </row>
    <row r="29" spans="1:12" ht="12.75" customHeight="1">
      <c r="A29" s="76"/>
      <c r="B29" s="4"/>
      <c r="D29" s="119">
        <f>I11*Ceny!G11</f>
        <v>87.101448000000005</v>
      </c>
      <c r="E29" s="119">
        <f>I11*Ceny!G46</f>
        <v>244.82438400000001</v>
      </c>
      <c r="F29" s="119"/>
      <c r="G29" s="119"/>
      <c r="H29" s="114">
        <f>1-H28+0.001</f>
        <v>0.34776181511271476</v>
      </c>
      <c r="I29" s="114">
        <f>1-H29</f>
        <v>0.65223818488728524</v>
      </c>
      <c r="J29" s="31"/>
      <c r="K29" s="129"/>
      <c r="L29" s="3"/>
    </row>
    <row r="30" spans="1:12" ht="12.75" customHeight="1">
      <c r="A30" s="76"/>
      <c r="B30" s="6">
        <v>1</v>
      </c>
      <c r="C30" s="4" t="s">
        <v>66</v>
      </c>
      <c r="D30" s="119">
        <f>I20*Ceny!G12</f>
        <v>496.91250000000008</v>
      </c>
      <c r="E30" s="119">
        <f>I20*Ceny!G47</f>
        <v>1406.0025000000001</v>
      </c>
      <c r="F30" s="116"/>
      <c r="G30" s="115"/>
      <c r="H30" s="140">
        <f>IF(F20=1,IF(E15&lt;=3,D29,E29),0)</f>
        <v>87.101448000000005</v>
      </c>
      <c r="I30" s="32">
        <f>IF(F20=1,IF(E15&lt;=3,D31,E31),0)</f>
        <v>88.095924000000011</v>
      </c>
      <c r="J30" s="148">
        <f>IF(H30&gt;0,I30/H30-1,0)</f>
        <v>1.1417445092302136E-2</v>
      </c>
      <c r="K30" s="130" t="str">
        <f>IF(H30&lt;&gt;I30,"þ"," ")</f>
        <v>þ</v>
      </c>
    </row>
    <row r="31" spans="1:12" ht="12.75" customHeight="1">
      <c r="A31" s="76"/>
      <c r="B31" s="6"/>
      <c r="C31" s="58" t="s">
        <v>67</v>
      </c>
      <c r="D31" s="120">
        <f>I11*Ceny!H11</f>
        <v>88.095924000000011</v>
      </c>
      <c r="E31" s="120">
        <f>I11*Ceny!H46</f>
        <v>244.82438400000001</v>
      </c>
      <c r="F31" s="117"/>
      <c r="G31" s="117"/>
      <c r="H31" s="90">
        <f>IF(F20=1,IF(E15&lt;=3,D30,E30),0)</f>
        <v>496.91250000000008</v>
      </c>
      <c r="I31" s="59">
        <f>IF(F20=1,IF(E15&lt;=3,D32,E32),0)</f>
        <v>498.33000000000004</v>
      </c>
      <c r="J31" s="150">
        <f>IF(H31&gt;0,I31/H31-1,0)</f>
        <v>2.8526148969887366E-3</v>
      </c>
      <c r="K31" s="130" t="str">
        <f t="shared" ref="K31:K36" si="0">IF(H31&lt;&gt;I31,"þ"," ")</f>
        <v>þ</v>
      </c>
    </row>
    <row r="32" spans="1:12" ht="12.75" customHeight="1">
      <c r="A32" s="76"/>
      <c r="B32" s="6"/>
      <c r="C32" s="12" t="s">
        <v>68</v>
      </c>
      <c r="D32" s="121">
        <f>I20*Ceny!H12</f>
        <v>498.33000000000004</v>
      </c>
      <c r="E32" s="121">
        <f>I20*Ceny!H47</f>
        <v>1406.0025000000001</v>
      </c>
      <c r="F32" s="112"/>
      <c r="G32" s="112"/>
      <c r="H32" s="84">
        <f>SUM(H30:H31)</f>
        <v>584.01394800000003</v>
      </c>
      <c r="I32" s="33">
        <f>SUM(I30:I31)</f>
        <v>586.42592400000001</v>
      </c>
      <c r="J32" s="149">
        <f>IF(H32&gt;0,I32/H32-1,0)</f>
        <v>4.1299972513670902E-3</v>
      </c>
      <c r="K32" s="130" t="str">
        <f t="shared" si="0"/>
        <v>þ</v>
      </c>
    </row>
    <row r="33" spans="1:12" ht="12.75" customHeight="1">
      <c r="A33" s="76"/>
      <c r="B33" s="6"/>
      <c r="C33" s="4"/>
      <c r="D33" s="119">
        <f>I11*Ceny!G19</f>
        <v>52.680516000000004</v>
      </c>
      <c r="E33" s="119">
        <f>I11*Ceny!G26</f>
        <v>44.361995999999998</v>
      </c>
      <c r="F33" s="119">
        <f>I11*Ceny!G33</f>
        <v>52.456572000000001</v>
      </c>
      <c r="G33" s="119">
        <f>I11*Ceny!G54</f>
        <v>25.217976</v>
      </c>
      <c r="H33" s="85"/>
      <c r="I33" s="34" t="s">
        <v>40</v>
      </c>
      <c r="J33" s="89">
        <f>I32-H32</f>
        <v>2.4119759999999815</v>
      </c>
      <c r="K33" s="130"/>
    </row>
    <row r="34" spans="1:12" ht="12.75" customHeight="1">
      <c r="A34" s="76"/>
      <c r="B34" s="6">
        <v>2</v>
      </c>
      <c r="C34" s="4" t="s">
        <v>34</v>
      </c>
      <c r="D34" s="119">
        <f>I20*Ceny!G20</f>
        <v>258.61500000000007</v>
      </c>
      <c r="E34" s="119">
        <f>I20*Ceny!G27</f>
        <v>280.98</v>
      </c>
      <c r="F34" s="119">
        <f>I20*Ceny!G34</f>
        <v>254.52</v>
      </c>
      <c r="G34" s="119">
        <f>I20*Ceny!G55</f>
        <v>161.595</v>
      </c>
      <c r="H34" s="140">
        <f>IF(F20=1,IF(E15=1,D33,IF(E15=2,E33,IF(E15=3,F33,IF(E15=4,G33,0)))),0)</f>
        <v>52.680516000000004</v>
      </c>
      <c r="I34" s="32">
        <f>IF(F20=1,IF(E15=1,D35,IF(E15=2,E35,IF(E15=3,F35,IF(E15=4,G35,0)))),0)</f>
        <v>52.680516000000004</v>
      </c>
      <c r="J34" s="148">
        <f>IF(H34&gt;0,I34/H34-1,0)</f>
        <v>0</v>
      </c>
      <c r="K34" s="130" t="str">
        <f t="shared" si="0"/>
        <v xml:space="preserve"> </v>
      </c>
    </row>
    <row r="35" spans="1:12" ht="12.75" customHeight="1">
      <c r="A35" s="76"/>
      <c r="B35" s="6"/>
      <c r="C35" s="58" t="s">
        <v>35</v>
      </c>
      <c r="D35" s="120">
        <f>I11*Ceny!H19</f>
        <v>52.680516000000004</v>
      </c>
      <c r="E35" s="120">
        <f>I11*Ceny!H26</f>
        <v>44.361995999999998</v>
      </c>
      <c r="F35" s="120">
        <f>I11*Ceny!H33</f>
        <v>52.456572000000001</v>
      </c>
      <c r="G35" s="120">
        <f>I11*Ceny!H54</f>
        <v>25.217976</v>
      </c>
      <c r="H35" s="90">
        <f>IF(F20=1,IF(E15=1,D34,IF(E15=2,E34,IF(E15=3,F34,IF(E15=4,G34,0)))),0)</f>
        <v>258.61500000000007</v>
      </c>
      <c r="I35" s="59">
        <f>IF(F20=1,IF(E15=1,D36,IF(E15=2,E36,IF(E15=3,F36,IF(E15=4,G36,0)))),0)</f>
        <v>258.61500000000007</v>
      </c>
      <c r="J35" s="150">
        <f>IF(H35&gt;0,I35/H35-1,0)</f>
        <v>0</v>
      </c>
      <c r="K35" s="130" t="str">
        <f>IF(H35&lt;&gt;I35,"þ"," ")</f>
        <v xml:space="preserve"> </v>
      </c>
    </row>
    <row r="36" spans="1:12" ht="12.75" customHeight="1">
      <c r="A36" s="76"/>
      <c r="B36" s="6"/>
      <c r="C36" s="12" t="s">
        <v>45</v>
      </c>
      <c r="D36" s="121">
        <f>I20*Ceny!H20</f>
        <v>258.61500000000007</v>
      </c>
      <c r="E36" s="121">
        <f>I20*Ceny!H27</f>
        <v>280.98</v>
      </c>
      <c r="F36" s="121">
        <f>I20*Ceny!H34</f>
        <v>254.52</v>
      </c>
      <c r="G36" s="121">
        <f>I20*Ceny!H55</f>
        <v>161.595</v>
      </c>
      <c r="H36" s="84">
        <f>SUM(H34:H35)</f>
        <v>311.29551600000008</v>
      </c>
      <c r="I36" s="33">
        <f>SUM(I34:I35)</f>
        <v>311.29551600000008</v>
      </c>
      <c r="J36" s="149">
        <f>IF(H36&gt;0,I36/H36-1,0)</f>
        <v>0</v>
      </c>
      <c r="K36" s="130" t="str">
        <f t="shared" si="0"/>
        <v xml:space="preserve"> </v>
      </c>
    </row>
    <row r="37" spans="1:12" ht="12.75" customHeight="1">
      <c r="A37" s="76"/>
      <c r="B37" s="27"/>
      <c r="C37" s="81"/>
      <c r="D37" s="118"/>
      <c r="E37" s="118"/>
      <c r="F37" s="118"/>
      <c r="G37" s="118"/>
      <c r="H37" s="81"/>
      <c r="I37" s="95"/>
      <c r="J37" s="96"/>
      <c r="K37" s="70"/>
    </row>
    <row r="38" spans="1:12" ht="12.75" customHeight="1">
      <c r="A38" s="76"/>
      <c r="B38" s="22">
        <v>3</v>
      </c>
      <c r="C38" s="97"/>
      <c r="D38" s="118"/>
      <c r="E38" s="118"/>
      <c r="F38" s="118"/>
      <c r="G38" s="118"/>
      <c r="H38" s="98"/>
      <c r="I38" s="98"/>
      <c r="J38" s="99"/>
      <c r="K38" s="70"/>
    </row>
    <row r="39" spans="1:12" ht="12.75" customHeight="1">
      <c r="A39" s="76"/>
      <c r="B39" s="27"/>
      <c r="C39" s="100"/>
      <c r="D39" s="122"/>
      <c r="E39" s="122"/>
      <c r="F39" s="122"/>
      <c r="G39" s="122"/>
      <c r="H39" s="100"/>
      <c r="I39" s="101"/>
      <c r="J39" s="102"/>
      <c r="K39" s="70"/>
    </row>
    <row r="40" spans="1:12" ht="12.75" customHeight="1">
      <c r="A40" s="76"/>
      <c r="B40" s="6"/>
      <c r="C40" s="60" t="str">
        <f>CONCATENATE("Suma opłat miesięcznych z VAT = ",TEXT([1]Ceny!$H$6,"0%"))</f>
        <v>Suma opłat miesięcznych z VAT = 5%</v>
      </c>
      <c r="D40" s="123"/>
      <c r="E40" s="123"/>
      <c r="F40" s="123"/>
      <c r="G40" s="123"/>
      <c r="H40" s="83">
        <f>H32+H36+H38</f>
        <v>895.30946400000016</v>
      </c>
      <c r="I40" s="61">
        <f>I32+I36+I38</f>
        <v>897.72144000000003</v>
      </c>
      <c r="J40" s="151">
        <f>IF(H40&gt;0,I40/H40-1,0)</f>
        <v>2.6940137427162725E-3</v>
      </c>
      <c r="K40" s="130" t="str">
        <f t="shared" ref="K40" si="1">IF(H40&lt;&gt;I40,"þ"," ")</f>
        <v>þ</v>
      </c>
    </row>
    <row r="41" spans="1:12" ht="12.75" customHeight="1">
      <c r="A41" s="76"/>
      <c r="B41" s="6"/>
      <c r="C41" s="4"/>
      <c r="D41" s="113"/>
      <c r="E41" s="113"/>
      <c r="F41" s="113"/>
      <c r="G41" s="113"/>
      <c r="H41" s="35"/>
      <c r="I41" s="91" t="s">
        <v>40</v>
      </c>
      <c r="J41" s="156">
        <f>I40-H40</f>
        <v>2.4119759999998678</v>
      </c>
      <c r="K41" s="70"/>
    </row>
    <row r="42" spans="1:12" ht="18" customHeight="1">
      <c r="A42" s="76"/>
      <c r="B42" s="79" t="s">
        <v>24</v>
      </c>
      <c r="C42" s="80" t="s">
        <v>37</v>
      </c>
      <c r="D42" s="124"/>
      <c r="E42" s="113"/>
      <c r="F42" s="113"/>
      <c r="G42" s="113"/>
      <c r="H42" s="36"/>
      <c r="I42" s="81"/>
      <c r="J42" s="81"/>
      <c r="K42" s="70"/>
    </row>
    <row r="43" spans="1:12" ht="12.75" customHeight="1">
      <c r="A43" s="76"/>
      <c r="B43" s="50"/>
      <c r="C43" s="86" t="str">
        <f>IF($E$15=4,"Dla grupy A5 opłaty źródła i przesyłu dotyczą MPEC-KONIN Sp. z o.o."," ")</f>
        <v xml:space="preserve"> </v>
      </c>
      <c r="D43" s="125"/>
      <c r="E43" s="125"/>
      <c r="F43" s="125"/>
      <c r="G43" s="125"/>
      <c r="H43" s="54" t="s">
        <v>60</v>
      </c>
      <c r="I43" s="56" t="s">
        <v>48</v>
      </c>
      <c r="J43" s="55" t="s">
        <v>9</v>
      </c>
      <c r="K43" s="129"/>
    </row>
    <row r="44" spans="1:12" ht="12.75" customHeight="1">
      <c r="A44" s="76"/>
      <c r="B44" s="37"/>
      <c r="D44" s="112"/>
      <c r="E44" s="112"/>
      <c r="F44" s="126"/>
      <c r="G44" s="111"/>
      <c r="H44" s="114">
        <f>IF(I56&lt;&gt;0,IF(E15=4,0,I48/I56),0)</f>
        <v>0</v>
      </c>
      <c r="I44" s="114">
        <f>1-H44</f>
        <v>1</v>
      </c>
      <c r="J44" s="92"/>
      <c r="K44" s="129"/>
    </row>
    <row r="45" spans="1:12" ht="12.75" customHeight="1">
      <c r="A45" s="76"/>
      <c r="B45" s="38"/>
      <c r="D45" s="119">
        <f>I11*Ceny!G10</f>
        <v>1045.2176280000001</v>
      </c>
      <c r="E45" s="119">
        <f>I11*Ceny!G45</f>
        <v>2937.8921040000005</v>
      </c>
      <c r="F45" s="111"/>
      <c r="G45" s="111"/>
      <c r="H45" s="114">
        <f>1-H44+0.001</f>
        <v>1.0009999999999999</v>
      </c>
      <c r="I45" s="114">
        <f>1-H45</f>
        <v>-9.9999999999988987E-4</v>
      </c>
      <c r="J45" s="88"/>
      <c r="K45" s="129"/>
    </row>
    <row r="46" spans="1:12" ht="12.75" customHeight="1">
      <c r="A46" s="76"/>
      <c r="B46" s="8">
        <v>1</v>
      </c>
      <c r="C46" s="4" t="s">
        <v>66</v>
      </c>
      <c r="D46" s="119">
        <f>I20*Ceny!G12</f>
        <v>496.91250000000008</v>
      </c>
      <c r="E46" s="119">
        <f>I20*Ceny!G47</f>
        <v>1406.0025000000001</v>
      </c>
      <c r="F46" s="127"/>
      <c r="G46" s="127"/>
      <c r="H46" s="140">
        <f>IF(F20=1,0,IF(E15&lt;=3,D45,E45))</f>
        <v>0</v>
      </c>
      <c r="I46" s="32">
        <f>IF(F20=1,0,IF(E15&lt;=3,D47,E47))</f>
        <v>0</v>
      </c>
      <c r="J46" s="148">
        <f>IF(H46&gt;0,I46/H46-1,0)</f>
        <v>0</v>
      </c>
      <c r="K46" s="130" t="str">
        <f>IF(H46&lt;&gt;I46,"þ"," ")</f>
        <v xml:space="preserve"> </v>
      </c>
      <c r="L46" s="2"/>
    </row>
    <row r="47" spans="1:12" ht="12.75" customHeight="1">
      <c r="A47" s="76"/>
      <c r="B47" s="37"/>
      <c r="C47" s="58" t="s">
        <v>67</v>
      </c>
      <c r="D47" s="120">
        <f>I11*Ceny!H10</f>
        <v>1057.150584</v>
      </c>
      <c r="E47" s="120">
        <f>I11*Ceny!H45</f>
        <v>2937.8921040000005</v>
      </c>
      <c r="F47" s="128"/>
      <c r="G47" s="128"/>
      <c r="H47" s="90">
        <f>IF(F20=1,IF(E15&lt;=3,D46*0,E46*0),IF(E15&lt;=3,D46,E46))</f>
        <v>0</v>
      </c>
      <c r="I47" s="59">
        <f>IF(F20=1,IF(E15&lt;=3,D48*0,E48*0),IF(E15&lt;=3,D48,E48))</f>
        <v>0</v>
      </c>
      <c r="J47" s="150">
        <f>IF(H47&gt;0,I47/H47-1,0)</f>
        <v>0</v>
      </c>
      <c r="K47" s="130" t="str">
        <f t="shared" ref="K47:K52" si="2">IF(H47&lt;&gt;I47,"þ"," ")</f>
        <v xml:space="preserve"> </v>
      </c>
      <c r="L47" s="2"/>
    </row>
    <row r="48" spans="1:12" ht="12.75" customHeight="1">
      <c r="A48" s="76"/>
      <c r="B48" s="37"/>
      <c r="C48" s="12" t="s">
        <v>68</v>
      </c>
      <c r="D48" s="132">
        <f>I20*Ceny!H12</f>
        <v>498.33000000000004</v>
      </c>
      <c r="E48" s="132">
        <f>I20*Ceny!H47</f>
        <v>1406.0025000000001</v>
      </c>
      <c r="F48" s="116"/>
      <c r="G48" s="116"/>
      <c r="H48" s="84">
        <f>SUM(H46:H47)</f>
        <v>0</v>
      </c>
      <c r="I48" s="33">
        <f>SUM(I46:I47)</f>
        <v>0</v>
      </c>
      <c r="J48" s="149">
        <f>IF(H48&gt;0,I48/H48-1,0)</f>
        <v>0</v>
      </c>
      <c r="K48" s="130" t="str">
        <f t="shared" si="2"/>
        <v xml:space="preserve"> </v>
      </c>
      <c r="L48" s="2"/>
    </row>
    <row r="49" spans="1:12" ht="12.75" customHeight="1">
      <c r="A49" s="76"/>
      <c r="B49" s="37"/>
      <c r="C49" s="9"/>
      <c r="D49" s="119">
        <f>I11*Ceny!G18</f>
        <v>632.16619200000002</v>
      </c>
      <c r="E49" s="119">
        <f>I11*Ceny!G25</f>
        <v>532.34344799999997</v>
      </c>
      <c r="F49" s="119">
        <f>I11*Ceny!G32</f>
        <v>629.47911600000009</v>
      </c>
      <c r="G49" s="119">
        <f>I11*Ceny!G53</f>
        <v>302.61613200000005</v>
      </c>
      <c r="H49" s="85"/>
      <c r="I49" s="34" t="s">
        <v>40</v>
      </c>
      <c r="J49" s="89">
        <f>I48-H48</f>
        <v>0</v>
      </c>
      <c r="K49" s="130"/>
      <c r="L49" s="2"/>
    </row>
    <row r="50" spans="1:12" ht="12.75" customHeight="1">
      <c r="A50" s="76"/>
      <c r="B50" s="8">
        <v>2</v>
      </c>
      <c r="C50" s="9" t="s">
        <v>34</v>
      </c>
      <c r="D50" s="119">
        <f>I20*Ceny!G20</f>
        <v>258.61500000000007</v>
      </c>
      <c r="E50" s="119">
        <f>I20*Ceny!G27</f>
        <v>280.98</v>
      </c>
      <c r="F50" s="119">
        <f>I20*Ceny!G34</f>
        <v>254.52</v>
      </c>
      <c r="G50" s="119">
        <f>I20*Ceny!G55</f>
        <v>161.595</v>
      </c>
      <c r="H50" s="140">
        <f>IF(F20=1,0,(IF(E15=1,D49,IF(E15=2,E49,IF(E15=3,F49,IF(E15=4,G49,0))))))</f>
        <v>0</v>
      </c>
      <c r="I50" s="32">
        <f>IF(F20=1,0,IF(E15=1,D51,IF(E15=2,E51,IF(E15=3,F51,IF(E15=4,G51,0)))))</f>
        <v>0</v>
      </c>
      <c r="J50" s="148">
        <f>IF(H50&gt;0,I50/H50-1,0)</f>
        <v>0</v>
      </c>
      <c r="K50" s="130" t="str">
        <f t="shared" si="2"/>
        <v xml:space="preserve"> </v>
      </c>
      <c r="L50" s="2"/>
    </row>
    <row r="51" spans="1:12" ht="12.75" customHeight="1">
      <c r="A51" s="76"/>
      <c r="B51" s="37"/>
      <c r="C51" s="62" t="s">
        <v>35</v>
      </c>
      <c r="D51" s="120">
        <f>I11*Ceny!H18</f>
        <v>632.16619200000002</v>
      </c>
      <c r="E51" s="120">
        <f>I11*Ceny!H25</f>
        <v>532.34344799999997</v>
      </c>
      <c r="F51" s="120">
        <f>I11*Ceny!H32</f>
        <v>629.47911600000009</v>
      </c>
      <c r="G51" s="120">
        <f>I11*Ceny!H53</f>
        <v>302.61613200000005</v>
      </c>
      <c r="H51" s="90">
        <f>IF(F20=2,IF(E15=1,D50,IF(E15=2,E50,IF(E15=3,F50,IF(E15=4,G50,0)))),H35*0)</f>
        <v>0</v>
      </c>
      <c r="I51" s="59">
        <f>IF(F20=2,IF(E15=1,D52,IF(E15=2,E52,IF(E15=3,F52,IF(E15=4,G52,0)))),I35*0)</f>
        <v>0</v>
      </c>
      <c r="J51" s="150">
        <f>IF(H51&gt;0,I51/H51-1,0)</f>
        <v>0</v>
      </c>
      <c r="K51" s="130" t="str">
        <f>IF(H51&lt;&gt;I51,"þ"," ")</f>
        <v xml:space="preserve"> </v>
      </c>
      <c r="L51" s="2"/>
    </row>
    <row r="52" spans="1:12" ht="12.75" customHeight="1">
      <c r="A52" s="76"/>
      <c r="B52" s="37"/>
      <c r="C52" s="12" t="s">
        <v>45</v>
      </c>
      <c r="D52" s="121">
        <f>I20*Ceny!H20</f>
        <v>258.61500000000007</v>
      </c>
      <c r="E52" s="121">
        <f>I20*Ceny!H27</f>
        <v>280.98</v>
      </c>
      <c r="F52" s="121">
        <f>I20*Ceny!H34</f>
        <v>254.52</v>
      </c>
      <c r="G52" s="121">
        <f>I20*Ceny!H55</f>
        <v>161.595</v>
      </c>
      <c r="H52" s="84">
        <f>SUM(H50:H51)</f>
        <v>0</v>
      </c>
      <c r="I52" s="33">
        <f>SUM(I50:I51)</f>
        <v>0</v>
      </c>
      <c r="J52" s="149">
        <f>IF(H52&gt;0,I52/H52-1,0)</f>
        <v>0</v>
      </c>
      <c r="K52" s="130" t="str">
        <f t="shared" si="2"/>
        <v xml:space="preserve"> </v>
      </c>
      <c r="L52" s="2"/>
    </row>
    <row r="53" spans="1:12" ht="12.75" customHeight="1">
      <c r="A53" s="76"/>
      <c r="B53" s="37"/>
      <c r="C53" s="38"/>
      <c r="D53" s="17"/>
      <c r="E53" s="17"/>
      <c r="F53" s="17"/>
      <c r="G53" s="17"/>
      <c r="H53" s="81"/>
      <c r="I53" s="95"/>
      <c r="J53" s="96"/>
      <c r="K53" s="72"/>
      <c r="L53" s="2"/>
    </row>
    <row r="54" spans="1:12" ht="12.75" customHeight="1">
      <c r="A54" s="76"/>
      <c r="B54" s="39">
        <v>3</v>
      </c>
      <c r="C54" s="40"/>
      <c r="D54" s="17"/>
      <c r="E54" s="17"/>
      <c r="F54" s="17"/>
      <c r="G54" s="17"/>
      <c r="H54" s="98"/>
      <c r="I54" s="98"/>
      <c r="J54" s="99"/>
      <c r="K54" s="72"/>
      <c r="L54" s="2"/>
    </row>
    <row r="55" spans="1:12" ht="12.75" customHeight="1">
      <c r="A55" s="76"/>
      <c r="B55" s="37"/>
      <c r="C55" s="63"/>
      <c r="D55" s="110"/>
      <c r="E55" s="110"/>
      <c r="F55" s="110"/>
      <c r="G55" s="110"/>
      <c r="H55" s="100"/>
      <c r="I55" s="101"/>
      <c r="J55" s="102"/>
      <c r="K55" s="72"/>
      <c r="L55" s="2"/>
    </row>
    <row r="56" spans="1:12" ht="12.75" customHeight="1">
      <c r="A56" s="76"/>
      <c r="B56" s="6"/>
      <c r="C56" s="60" t="str">
        <f>CONCATENATE("Suma opłat rocznych z VAT = ",TEXT([1]Ceny!$H$6,"0%"))</f>
        <v>Suma opłat rocznych z VAT = 5%</v>
      </c>
      <c r="D56" s="58"/>
      <c r="E56" s="58"/>
      <c r="F56" s="58"/>
      <c r="G56" s="58"/>
      <c r="H56" s="83">
        <f>H48+H52+H54</f>
        <v>0</v>
      </c>
      <c r="I56" s="61">
        <f>I48+I52+I54</f>
        <v>0</v>
      </c>
      <c r="J56" s="151">
        <f>IF(H56&gt;0,I56/H56-1,0)</f>
        <v>0</v>
      </c>
      <c r="K56" s="130" t="str">
        <f t="shared" ref="K56" si="3">IF(H56&lt;&gt;I56,"þ"," ")</f>
        <v xml:space="preserve"> </v>
      </c>
      <c r="L56" s="2"/>
    </row>
    <row r="57" spans="1:12" ht="12.75" customHeight="1">
      <c r="A57" s="76"/>
      <c r="B57" s="4"/>
      <c r="C57" s="4"/>
      <c r="D57" s="4"/>
      <c r="E57" s="4"/>
      <c r="F57" s="4"/>
      <c r="G57" s="4"/>
      <c r="H57" s="35"/>
      <c r="I57" s="91" t="s">
        <v>40</v>
      </c>
      <c r="J57" s="156">
        <f>I56-H56</f>
        <v>0</v>
      </c>
      <c r="K57" s="71"/>
      <c r="L57" s="2"/>
    </row>
    <row r="58" spans="1:12" ht="12.75" customHeight="1" thickBot="1">
      <c r="A58" s="78"/>
      <c r="B58" s="67"/>
      <c r="C58" s="68"/>
      <c r="D58" s="68"/>
      <c r="E58" s="68"/>
      <c r="F58" s="68"/>
      <c r="G58" s="68"/>
      <c r="H58" s="68"/>
      <c r="I58" s="68"/>
      <c r="J58" s="68"/>
      <c r="K58" s="73"/>
    </row>
    <row r="59" spans="1:12" ht="13.5" thickTop="1">
      <c r="A59" s="41"/>
      <c r="B59" s="42"/>
      <c r="C59" s="41"/>
      <c r="D59" s="41"/>
      <c r="E59" s="41"/>
      <c r="F59" s="41"/>
      <c r="G59" s="41"/>
      <c r="H59" s="41"/>
      <c r="I59" s="41"/>
      <c r="J59" s="41"/>
      <c r="K59" s="41"/>
    </row>
  </sheetData>
  <sheetProtection selectLockedCells="1" selectUnlockedCells="1"/>
  <phoneticPr fontId="9" type="noConversion"/>
  <printOptions horizontalCentered="1"/>
  <pageMargins left="0.19685039370078741" right="0.19685039370078741" top="0.59055118110236227" bottom="0.59055118110236227" header="0.31496062992125984" footer="0.70866141732283472"/>
  <pageSetup paperSize="9" orientation="portrait" r:id="rId1"/>
  <headerFooter alignWithMargins="0"/>
  <ignoredErrors>
    <ignoredError sqref="J33 J40 J49 J56" formula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Ceny</vt:lpstr>
      <vt:lpstr>Kalkulator</vt:lpstr>
    </vt:vector>
  </TitlesOfParts>
  <Company>MPEC-Konin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Kosowski Robert</dc:creator>
  <cp:lastModifiedBy>Robert Kosowski</cp:lastModifiedBy>
  <cp:lastPrinted>2010-07-02T08:33:22Z</cp:lastPrinted>
  <dcterms:created xsi:type="dcterms:W3CDTF">2004-06-09T05:45:51Z</dcterms:created>
  <dcterms:modified xsi:type="dcterms:W3CDTF">2022-07-27T12:21:11Z</dcterms:modified>
</cp:coreProperties>
</file>